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65521" yWindow="345" windowWidth="15330" windowHeight="3885" firstSheet="13" activeTab="15"/>
  </bookViews>
  <sheets>
    <sheet name="TAB. P - PARÂMETROS" sheetId="1" r:id="rId1"/>
    <sheet name="VLR 2012 a 2018 ATUALIZ média" sheetId="2" r:id="rId2"/>
    <sheet name="I.METAS ATUAIS X M. ANTERIORES" sheetId="3" r:id="rId3"/>
    <sheet name="I. MÉDIA DESPESA REAL E FIXADA" sheetId="4" r:id="rId4"/>
    <sheet name="II.  R.C.L. REALIZ. E ESTIMADA" sheetId="5" r:id="rId5"/>
    <sheet name="III. PESSOAL EXEC. LEG. X RCL " sheetId="6" r:id="rId6"/>
    <sheet name="IV. META FISCAL RESULT.PRIMÁRIO" sheetId="7" r:id="rId7"/>
    <sheet name="V. MF.RES NOMINAL E DIV CONSOL " sheetId="8" r:id="rId8"/>
    <sheet name="VI. AVAL. FINANC.ATUARIAL- RPPS" sheetId="9" r:id="rId9"/>
    <sheet name="VII. EVOLUÇÃO  PATRIM. LÍQUIDO" sheetId="10" r:id="rId10"/>
    <sheet name="VIII. ORIG. APLIC REC. ALIENAÇ." sheetId="11" r:id="rId11"/>
    <sheet name="IXa. ESTIMA COMP. RENÚNCIA REC." sheetId="12" r:id="rId12"/>
    <sheet name="XIb. MARGEM EXPANSÃO DOCC" sheetId="13" r:id="rId13"/>
    <sheet name="X-ANEXO DOS RISCOS FISCAIS" sheetId="14" r:id="rId14"/>
    <sheet name="RESUMO PROGRAMAS" sheetId="15" r:id="rId15"/>
    <sheet name="METAS PRIORITARIAS FÍSICAS" sheetId="16" r:id="rId16"/>
    <sheet name="Tab07B" sheetId="17" state="hidden" r:id="rId17"/>
    <sheet name="AvalRec2" sheetId="18" state="hidden" r:id="rId18"/>
    <sheet name="Plan1" sheetId="19" r:id="rId19"/>
  </sheets>
  <definedNames>
    <definedName name="_xlnm.Print_Area" localSheetId="17">'AvalRec2'!$A$1:$F$37</definedName>
    <definedName name="_xlnm.Print_Area" localSheetId="4">'II.  R.C.L. REALIZ. E ESTIMADA'!$B$1:$M$34</definedName>
    <definedName name="_xlnm.Print_Area" localSheetId="16">'Tab07B'!$A$25:$F$31</definedName>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 name="Planilha_1ÁreaTotal">#REF!,#REF!</definedName>
    <definedName name="Planilha_1CabGráfico">#REF!</definedName>
    <definedName name="Planilha_1TítCols">#REF!,#REF!</definedName>
    <definedName name="Planilha_1TítLins">#REF!</definedName>
    <definedName name="Planilha_2ÁreaTotal">#REF!,#REF!</definedName>
    <definedName name="Planilha_2CabGráfico">#REF!</definedName>
    <definedName name="Planilha_2TítCols">#REF!,#REF!</definedName>
    <definedName name="Planilha_2TítLins">#REF!</definedName>
    <definedName name="Planilha_3ÁreaTotal">#REF!,#REF!</definedName>
    <definedName name="Planilha_3CabGráfico">#REF!</definedName>
    <definedName name="Planilha_3TítCols">#REF!,#REF!</definedName>
    <definedName name="Planilha_3TítLins">#REF!</definedName>
    <definedName name="Planilha_4ÁreaTotal">#REF!,#REF!</definedName>
    <definedName name="Planilha_4TítCols">#REF!,#REF!</definedName>
    <definedName name="Tabela_I">#REF!</definedName>
    <definedName name="Tabela_I_A">#REF!</definedName>
    <definedName name="Tabela_II">#REF!</definedName>
    <definedName name="Tabela_III">#REF!</definedName>
    <definedName name="Tabela_IV">#REF!</definedName>
    <definedName name="Tabela_V">#REF!</definedName>
    <definedName name="Tabela_V_A">#REF!</definedName>
    <definedName name="Tabela_VI">#REF!</definedName>
    <definedName name="_xlnm.Print_Titles" localSheetId="16">'Tab07B'!$1:$7</definedName>
    <definedName name="Topo">#REF!</definedName>
  </definedNames>
  <calcPr fullCalcOnLoad="1"/>
</workbook>
</file>

<file path=xl/comments5.xml><?xml version="1.0" encoding="utf-8"?>
<comments xmlns="http://schemas.openxmlformats.org/spreadsheetml/2006/main">
  <authors>
    <author>***</author>
  </authors>
  <commentList>
    <comment ref="E19" authorId="0">
      <text>
        <r>
          <rPr>
            <b/>
            <sz val="8"/>
            <rFont val="Tahoma"/>
            <family val="2"/>
          </rPr>
          <t>***:</t>
        </r>
        <r>
          <rPr>
            <sz val="8"/>
            <rFont val="Tahoma"/>
            <family val="2"/>
          </rPr>
          <t xml:space="preserve">
</t>
        </r>
      </text>
    </comment>
  </commentList>
</comments>
</file>

<file path=xl/sharedStrings.xml><?xml version="1.0" encoding="utf-8"?>
<sst xmlns="http://schemas.openxmlformats.org/spreadsheetml/2006/main" count="1958" uniqueCount="1182">
  <si>
    <t xml:space="preserve">ANEXO METAS FISCAIS - RESUMO DOS PROGRAMAS </t>
  </si>
  <si>
    <t xml:space="preserve"> informada, provendo todos os meios para garantir a participação da comunidade na gestão dos recursos públicos.  Prover todos os meios para realizar parcerias com pessoas físicas, jurídicas, entidades públicas, empresas privadas e entidades associativas, educacionais, assistências, esportivas, culturais e outras, propondo projetos, programas e ações para permitir o crescimento econômico e social do Município como um todo, inclusive de prevenção a incêndios e segurança das pessoas como um todo. Ampliar as redes de iluminação pública, construir pistas e/ou calçadas de passeio para pedestres visando maior segurança para os mesmos. Manter os contratos e serviços de divulgações e publicações existentes, os controles e fiscalizações, ampliar os serviços de recolhimento de lixo, de divulgação, fazer novas contratações, readequar e reajustar todos os tipos de contratos.  Adquirir os materiais de consumo e de distribuição de todos os gêneros, premiações e outros materiais inclusive específicos para programas e ações a fim de ampliar e promover melhorias nos mais diversos setores econômicos do Município. Conceder auxílios para incentivos e promover novas e outras ações que proporcionem gerar mais renda para </t>
  </si>
  <si>
    <t xml:space="preserve">produtores rurais e investidores em geral (indústria, comércio, serviços e outros); adquirir veículos, máquinas e implementos agrícolas, caminhões, tratores, outras máquinas e materiais e equipamentos permanentes; construir imóveis, adquirir imóveis e/ou permutar áreas de interesse para uso pelo Município objetivando prover espaços para realização de eventos, construção de áreas de lazer e esportes, habitação, domínio público entre outros; para ampliação, manutenção e o bom funcionamento de todo e qualquer serviço mantido pelo poder e prestado a comunidade em geral, bem como, qualificar e conservar o patrimônio, e os serviços prestados, continuamente. Prover todos os meios para incrementar a receita própria, e para captar recursos de outras esferas de governo e privadas, direcionando recursos e proporcionando contrapartida financeira e física necessária para garantir a execução dos novos projetos e programas, os existentes e de caráter continuado. Direcionar recursos para garantir a execução de projetos e ações em andamento e os que objetivam melhorar e reorganizar a infraestrutura existente, dando-lhes prioridade, criando novos programas e ações para ampliar os meios que proporcionem o melhor resultado </t>
  </si>
  <si>
    <t>econômico e social possível, gerando qualidade de vida para a população e melhorias em geral para o Município.  Fazer uma reserva de recursos (contingências) para imprevistos.</t>
  </si>
  <si>
    <r>
      <t>PODER LEGISLATIVO:</t>
    </r>
    <r>
      <rPr>
        <sz val="8"/>
        <rFont val="Arial"/>
        <family val="2"/>
      </rPr>
      <t xml:space="preserve"> Pretende-se manter e qualificar sempre mais os serviços legislativos. Permitir a criação de novos cargos, o reajuste e aumento de vencimentos, vantagens e demais remunerações e benefícios dos servidores, agentes políticos eletivos e demais contratações de pessoal feita pelo poder legislativo.  Permitir que, sejam feitas novas contratações, concessão de novas vantagens e benefícios e cumprir com compromissos previdenciários, sociais, trabalhistas e obrigações patronais pertinentes.  Manter assessorias, contratações de pessoas físicas e jurídicas, necessárias ao bom funcionamento; manter as divulgações e publicações, os controles e fiscalizações, zelar pela transparência das informações, inclusive fazer novas contratações sempre que for necessário e a readequação dos valores contratados.   Adquirir materiais de consumo e de distribuição de todos os gêneros, premiações e outros materiais, inclusive veículo e outros equipamentos permanentes necessários para a manutenção, qualificação e melhorias dos serviços legislativos prestados à comunidade, bem como, prover todos os meios para ampliar, qualificar e conservar o patrimônio e os serviços prestados pela Câmara. </t>
    </r>
  </si>
  <si>
    <r>
      <t>PODER EXECUTIVO:</t>
    </r>
    <r>
      <rPr>
        <sz val="8"/>
        <rFont val="Arial"/>
        <family val="2"/>
      </rPr>
      <t xml:space="preserve"> Pretende-se manter e qualificar sempre mais os serviços executados por todos os órgãos e unidades do poder executivo municipal. Ampliar a estrutura administrativa, criando novas secretarias e unidades.  Permitir a criação de novos cargos, o aumento e reajuste dos subsídios, dos vencimentos, das vantagens, demais remunerações e benefícios, assim como, conceder novas vantagens e benefícios aos servidores, secretários, cargos eletivos e demais contratações de pessoal. Cumprir com compromissos previdenciários, sociais e obrigações patronais e trabalhistas pertinentes. Manter e contratar novos serviços técnicos, de apoio administrativo, de assessoria e outros, para as diversas secretarias e unidades de governo sempre que necessário para qualificar os serviços prestados à população através da contratação de pessoas físicas e jurídicas, necessárias ao bom desempenho e funcionamento dos mesmos.  Proporcionar a criação e/ou ampliação do perímetro urbano, visando o desenvolvimento geral do Município e regionalizado das localidades do interior. Privar pelo cumprimento da legislação no que tange a publicidade das ações de governo, com o objetivo de manter a população  sempre   </t>
    </r>
  </si>
  <si>
    <t>Internet instalada nas 4 localidades: Fritzembeg (R$ 30.000,00), Goelzember (R$ 30.000,00), Boa Vista União(R$20.000,00) e Santa Inês(R$ 30.000,00).</t>
  </si>
  <si>
    <t>Executar todas as tarefas de cometência da Secretaria da Fazenda e direcionar recursos para as secretarias que integram os programas de incentivos ao aumento da arrecadação própria.</t>
  </si>
  <si>
    <t>TIPO   e CÓDIGO</t>
  </si>
  <si>
    <t>Contratar empresa para Instalar rede e sinal  para acesso a internet para as localidades do interior do Município.</t>
  </si>
  <si>
    <t>Contratar empresas para construção da infraestrutura básica (terraplenagem, água, luz e saneamento básico) na terra a ser destinda para construção de casas populares</t>
  </si>
  <si>
    <t>Área de terras regularizada para habitação popular.</t>
  </si>
  <si>
    <t>Contratar empresa para construção de Unidades Mecanizadas de Compostagem de Suínos - UMACs.</t>
  </si>
  <si>
    <t>Três UMACS  Construídas</t>
  </si>
  <si>
    <t>Incluem-se a ampliação de ações e o aumento de despesas correntes de caráter continuado decorrentes da aquisição e construção de bens de capital e ações.</t>
  </si>
  <si>
    <t>MEMÓRIA E METODOLOGIA DE CÁLCULO                        I                                    V</t>
  </si>
  <si>
    <t xml:space="preserve"> Passivo Real</t>
  </si>
  <si>
    <t>A-B</t>
  </si>
  <si>
    <t xml:space="preserve"> D + E</t>
  </si>
  <si>
    <t>Cota-parte do FPM - Extra - EC 55/2007</t>
  </si>
  <si>
    <t>Cota-Parte do FPM + Cota Extra</t>
  </si>
  <si>
    <t>EXERCÍCIO</t>
  </si>
  <si>
    <t>CANCELAMENTO DE RESTOS À PAGAR</t>
  </si>
  <si>
    <t>IRRF  (PESSOA JURÍDICA)</t>
  </si>
  <si>
    <t>IRRF  (PESSOA FÍSICA)</t>
  </si>
  <si>
    <t>Receitas Correntes Diversas (DEMAIS)</t>
  </si>
  <si>
    <t>RECEITAS DE RESTITUIÇÕES E INDENIZAÇÕES</t>
  </si>
  <si>
    <t xml:space="preserve">   DEDUÇÕES DEVOLUÇÃO  IMP. ( TRIBUTOS MUNIC.)</t>
  </si>
  <si>
    <t>Multas e Juros de Mora de IMPOSTOS</t>
  </si>
  <si>
    <t>Multas e Juros de Mora de Outros Tributos</t>
  </si>
  <si>
    <t>Multas e Juros de Mora da Dívida Ativa de IMPOSTOS</t>
  </si>
  <si>
    <t>Receitas da Dívida Ativa  de IMPOSTOS</t>
  </si>
  <si>
    <t>Receitas da Dívida Ativa Outros Tributos</t>
  </si>
  <si>
    <t>C - B</t>
  </si>
  <si>
    <t>D - C</t>
  </si>
  <si>
    <r>
      <t xml:space="preserve">FÓRMULA.&gt; 100% do valor  descrito como Demandas Judiciais, ítem  </t>
    </r>
    <r>
      <rPr>
        <b/>
        <sz val="6"/>
        <rFont val="Arial"/>
        <family val="2"/>
      </rPr>
      <t xml:space="preserve">" A"  </t>
    </r>
    <r>
      <rPr>
        <sz val="6"/>
        <rFont val="Arial"/>
        <family val="2"/>
      </rPr>
      <t>identiticado na coluna dos Passivos Contingentes.</t>
    </r>
  </si>
  <si>
    <t xml:space="preserve"> = valores do QUADRO 1 da  TAB III </t>
  </si>
  <si>
    <t>L3+L4+L5</t>
  </si>
  <si>
    <t>L7+L8+L9</t>
  </si>
  <si>
    <t>Descrição:</t>
  </si>
  <si>
    <t xml:space="preserve">PROJETADO NO ORÇAMENTO </t>
  </si>
  <si>
    <t>EXECUTADO NO EXERCÍCIO</t>
  </si>
  <si>
    <t xml:space="preserve">METODOLOGIA E MEMÓRIA DE CÁLCULO                                                                                                             ---&gt;                                         |                                                  v                                    </t>
  </si>
  <si>
    <t xml:space="preserve"> ANEXO RISCOS FISCAIS:    PROVIDÊNCIAS                QUADRO 2   ( H + I ) </t>
  </si>
  <si>
    <t xml:space="preserve">V </t>
  </si>
  <si>
    <t>2016</t>
  </si>
  <si>
    <t>MEMÓRIA DE CÁLCULO : As correções utilizadas para projeção das despesas de Pessoal para os Exercícios de 2015 e 2016  são respectivamente as projeções de inflação conforme Tabela I de Parâmetros.</t>
  </si>
  <si>
    <t>Objetivo Geral dos Programas:</t>
  </si>
  <si>
    <t>(Art. 13, inciso VII da LDO para 2014)</t>
  </si>
  <si>
    <t>b) Depósitos (Consignações, em folha,  INSS retido Folha, IPÊ,etc.)</t>
  </si>
  <si>
    <r>
      <t xml:space="preserve">Deixar de executar projetos  (metas físicas programadas para os exercícios).  Em primeiro lugar: Deixar de fazer  obras novas, que ainda não tenham sido iniciadas até então </t>
    </r>
    <r>
      <rPr>
        <b/>
        <sz val="6"/>
        <rFont val="Arial"/>
        <family val="2"/>
      </rPr>
      <t xml:space="preserve">e/ou </t>
    </r>
  </si>
  <si>
    <t>LRF Art. 4°,inciso II  (índices para correções e análises objetivando consistência com as premissas da política econômica nacional)</t>
  </si>
  <si>
    <r>
      <t xml:space="preserve">FÓRMULA.&gt; 100% do valor  descrito como possível risco no ítem </t>
    </r>
    <r>
      <rPr>
        <b/>
        <sz val="6"/>
        <rFont val="Arial"/>
        <family val="2"/>
      </rPr>
      <t xml:space="preserve">" c"  </t>
    </r>
    <r>
      <rPr>
        <sz val="6"/>
        <rFont val="Arial"/>
        <family val="2"/>
      </rPr>
      <t>identiticado na coluna dos riscos fiscais.</t>
    </r>
  </si>
  <si>
    <r>
      <t xml:space="preserve">Fazer uma reserva financeira (contingências) para uso na abertura de créditos adicionais a fim de garantir as possíveis previsões de riscos dos itens:  </t>
    </r>
    <r>
      <rPr>
        <b/>
        <sz val="6"/>
        <rFont val="Arial"/>
        <family val="2"/>
      </rPr>
      <t>"G"   "H"   "J"      e      " K".</t>
    </r>
  </si>
  <si>
    <r>
      <t xml:space="preserve">Fazer uma reserva específica  (contingência) para uso exclusivo na abertura de créditos adicionais para o pagamento de despesas decorrentes de decisões judiciais ou acordos relacionados a pessoal período 5 anos (FPS). Ítem: </t>
    </r>
    <r>
      <rPr>
        <b/>
        <sz val="6"/>
        <rFont val="Arial"/>
        <family val="2"/>
      </rPr>
      <t>" F"</t>
    </r>
    <r>
      <rPr>
        <sz val="6"/>
        <rFont val="Arial"/>
        <family val="2"/>
      </rPr>
      <t>.</t>
    </r>
  </si>
  <si>
    <r>
      <t xml:space="preserve">AVALIAÇÃO: </t>
    </r>
    <r>
      <rPr>
        <sz val="6"/>
        <rFont val="Arial"/>
        <family val="2"/>
      </rPr>
      <t xml:space="preserve"> A situação financeira atual do Município é bastante estável, pois os recursos estão sendo gerenciados com um rígido controle dos ingressos efetivos das  receitas para a  posterior realização de despesas,</t>
    </r>
  </si>
  <si>
    <t>G  =                            C + (G*)</t>
  </si>
  <si>
    <t xml:space="preserve">I  =                                   H + (I*) </t>
  </si>
  <si>
    <r>
      <t xml:space="preserve">OBS:  (ítem f)    </t>
    </r>
    <r>
      <rPr>
        <sz val="6"/>
        <rFont val="Arial"/>
        <family val="2"/>
      </rPr>
      <t xml:space="preserve">Além do valor da previsão de receitas provenientes dos rendimentos de aplicações financeiras existe também um valor em moeda corrente nacional, depositada em conta bancária específica do Banco do Brasil, que anualmente será constituída como Reserva para eventuais Contingências, no valor do saldo bancário, com recursos vinculados para a destinação específica a fim de cobrir eventuais riscos descritos neste ítem.  E, na oportunidade em que o recursos tiverem que ser utilizados deverão ser feitas negociações  no valor dos recursos disponíveis e criadas rubricas específicas para os respectivos gastos e enquanto não houver previsão para a utilização dos recursos, sua programação é mantê-los anualmente em reservas no mesmo valor do saldo bancário, ou simplesmente, não incluí-lo na programação da despesa orçamentária.  </t>
    </r>
  </si>
  <si>
    <t>a) Valor POSITIVO conforme Dívida Fiscal Líquida do Exercício imediatamente Anterior</t>
  </si>
  <si>
    <t>c) Empenhos do Exercício Liquidados + Restos à Pagar de Exercícios Anteriores.</t>
  </si>
  <si>
    <t>Alienações Saúde - ASPS</t>
  </si>
  <si>
    <t>Alienações  - LIVRES</t>
  </si>
  <si>
    <t>Alienações Câmara - CÂMARA</t>
  </si>
  <si>
    <t>PÁG. 1/1</t>
  </si>
  <si>
    <t>coloquei valor zero nos quadros amarelos (%) cfme planilha V</t>
  </si>
  <si>
    <t>coloquei valor zero nos quadros (%) cfme planilha V</t>
  </si>
  <si>
    <t xml:space="preserve"> L2-(L3+L4+L5)</t>
  </si>
  <si>
    <t xml:space="preserve"> =Tab.I, L36</t>
  </si>
  <si>
    <t xml:space="preserve"> =Tab.I, (L39+L40)</t>
  </si>
  <si>
    <t xml:space="preserve"> =Tab.I, L50</t>
  </si>
  <si>
    <t xml:space="preserve"> =Tab.I, L51</t>
  </si>
  <si>
    <t xml:space="preserve"> =Tab.I, L61</t>
  </si>
  <si>
    <t>VLR. DE 2012 ATUALIZADO</t>
  </si>
  <si>
    <t>Convênios Min. Cidades ( 10 de novembro)</t>
  </si>
  <si>
    <t>Convênios Min. Cidades ( Maria Ludwig)</t>
  </si>
  <si>
    <t>Convênios Min. Cidades ( 25 de julho)</t>
  </si>
  <si>
    <t>Convênios Min. Agric. (CAMINHAO)</t>
  </si>
  <si>
    <t>Convênios FUNDERGS (Ginásio)</t>
  </si>
  <si>
    <t>Convênios FUNDERGS (Placares)</t>
  </si>
  <si>
    <t>L7-(L8+L9+ L10+L11)</t>
  </si>
  <si>
    <t xml:space="preserve"> =Tab.I,(L13+L18+L33+L70)</t>
  </si>
  <si>
    <t>Soma(L15aL21)</t>
  </si>
  <si>
    <t xml:space="preserve"> =Tab.I, L81</t>
  </si>
  <si>
    <t xml:space="preserve"> =Tab.I, L85</t>
  </si>
  <si>
    <t>0</t>
  </si>
  <si>
    <t xml:space="preserve"> =Tab.I, L83</t>
  </si>
  <si>
    <t xml:space="preserve">  L11 - L21</t>
  </si>
  <si>
    <t xml:space="preserve"> L1 - L14 - L22</t>
  </si>
  <si>
    <t>Memória de Cálculo                                               |                                                              V</t>
  </si>
  <si>
    <t>FONTE: Balanços anuais (Receita)</t>
  </si>
  <si>
    <t>IDENTIFICAÇÃO DA COLUNA  (em letras)</t>
  </si>
  <si>
    <t>IDENTIFICAÇÃO DA LINHA (em números)</t>
  </si>
  <si>
    <t>Receita Industrial</t>
  </si>
  <si>
    <t>Receita de Serviços</t>
  </si>
  <si>
    <t>Receita Agropecuária</t>
  </si>
  <si>
    <t>Percentual para cálculo</t>
  </si>
  <si>
    <t>Receitas Tributárias</t>
  </si>
  <si>
    <t>Impostos</t>
  </si>
  <si>
    <t>Taxas</t>
  </si>
  <si>
    <t>Receita de Contribuições</t>
  </si>
  <si>
    <t>Outras Contribuições</t>
  </si>
  <si>
    <t>Receita Patrimonial</t>
  </si>
  <si>
    <t>Outras Receitas Patrimoniais</t>
  </si>
  <si>
    <t>Cota-parte do ITR</t>
  </si>
  <si>
    <t>Cota-parte do FPM</t>
  </si>
  <si>
    <t>Cota-parte do ICMS</t>
  </si>
  <si>
    <t>Cota-parte do IPI-ex</t>
  </si>
  <si>
    <t>Também foram feitas atualizações calculadas sobre os índices de crescimento vegetativo indicados na mesma Tabela I. (índice apurado s/ cálculo individual feito em tabela específica transcrito para a Tabela de Parâmetros)</t>
  </si>
  <si>
    <t>Outras Receitas Correntes</t>
  </si>
  <si>
    <t>Operações de Crédito</t>
  </si>
  <si>
    <t xml:space="preserve">Alienação de Bens </t>
  </si>
  <si>
    <t>Transf. de Capital</t>
  </si>
  <si>
    <t>Outras Receitas de Capital</t>
  </si>
  <si>
    <r>
      <t>ANO</t>
    </r>
    <r>
      <rPr>
        <b/>
        <vertAlign val="superscript"/>
        <sz val="11"/>
        <color indexed="63"/>
        <rFont val="Verdana"/>
        <family val="2"/>
      </rPr>
      <t>(*)</t>
    </r>
  </si>
  <si>
    <t>DESPESAS DO LEGISLATIVO - 2001/2005</t>
  </si>
  <si>
    <t>Legislativo Pessoal Ativo (B) = 70% de (A)</t>
  </si>
  <si>
    <t xml:space="preserve">Prefeitura Municipal de </t>
  </si>
  <si>
    <t>AVALIAÇÃO DE RECURSOS DISPONÍVEIS PARA PLANEJAMENTO</t>
  </si>
  <si>
    <t xml:space="preserve"> </t>
  </si>
  <si>
    <t>Receita  Corrente Líquida (A)</t>
  </si>
  <si>
    <t>Transferências não Vinculadas</t>
  </si>
  <si>
    <t>FONTE: Site TJRS e Tabelas  I ,  IV e V.</t>
  </si>
  <si>
    <t>Transferências do SUS</t>
  </si>
  <si>
    <t>Transferência Adicional do Fundef</t>
  </si>
  <si>
    <t>Transferências de Convênios</t>
  </si>
  <si>
    <t>Despesas Vinculadas/obrigações legais(B)</t>
  </si>
  <si>
    <t>Despesas com serviços de saúde</t>
  </si>
  <si>
    <t>Recursos doTesouro-EC nº 29</t>
  </si>
  <si>
    <t>Pessoal(líquido)</t>
  </si>
  <si>
    <t>Outras de custeio e capital</t>
  </si>
  <si>
    <t xml:space="preserve">Convênios </t>
  </si>
  <si>
    <t>Despesas com Manut.e Des.Ensino</t>
  </si>
  <si>
    <t>Despesas  com Legislativo</t>
  </si>
  <si>
    <t>EC nº25</t>
  </si>
  <si>
    <t>Pessoal Ativo</t>
  </si>
  <si>
    <t>Pessoal Inativo( líquido)do Legislativo</t>
  </si>
  <si>
    <t xml:space="preserve">Outras Despesas com Rec. Vincul./Convênios </t>
  </si>
  <si>
    <t>Despesas com Recursos de Convênios</t>
  </si>
  <si>
    <t>Contrapartidas  de Convênios</t>
  </si>
  <si>
    <t>Outras Despesas com Rec. Vinculados</t>
  </si>
  <si>
    <t>Serviço da Dívida</t>
  </si>
  <si>
    <t>Juros e encargos da dívida</t>
  </si>
  <si>
    <t>Amortização</t>
  </si>
  <si>
    <t>Outras Despesas Correntes</t>
  </si>
  <si>
    <t xml:space="preserve">DESPESAS FISCAIS CORRENTES </t>
  </si>
  <si>
    <t xml:space="preserve">DESPESAS CORRENTES </t>
  </si>
  <si>
    <t xml:space="preserve">Juros e Encargos da Dívida  </t>
  </si>
  <si>
    <t>DESPESAS DE CAPITAL</t>
  </si>
  <si>
    <t>Investimentos</t>
  </si>
  <si>
    <t>Inversões Financeiras</t>
  </si>
  <si>
    <t>Amortização da Dívida</t>
  </si>
  <si>
    <t>DESPESAS FISCAIS DE CAPITAL</t>
  </si>
  <si>
    <t>RESERVAS DE CONTINGÊNCIAS</t>
  </si>
  <si>
    <t>DESPESAS PRIMÁRIAS</t>
  </si>
  <si>
    <t>RESULTADO PRIMÁRIO</t>
  </si>
  <si>
    <t xml:space="preserve">PROJETADO </t>
  </si>
  <si>
    <t>DÍVIDA CONSOLIDADA</t>
  </si>
  <si>
    <t>DEDUÇÕES</t>
  </si>
  <si>
    <t>DÍVIDA CONSOLIADA LÍQUIDA</t>
  </si>
  <si>
    <t>RECEITA DE PRIVATIZAÇÕES</t>
  </si>
  <si>
    <t>DÍVIDA FISCAL LÍQUIDA</t>
  </si>
  <si>
    <t>B</t>
  </si>
  <si>
    <t>C</t>
  </si>
  <si>
    <t>D</t>
  </si>
  <si>
    <t>E</t>
  </si>
  <si>
    <t>F</t>
  </si>
  <si>
    <t>G</t>
  </si>
  <si>
    <t>H</t>
  </si>
  <si>
    <t>RECEITA TOTAL</t>
  </si>
  <si>
    <t>DESPESA TOTAL</t>
  </si>
  <si>
    <t>Melhor qualidade de vida e oportunidade de emprego para os munícipes, geração de  mais renda para as famílias de produtores rurais além do aumento da arrecadação própria oriunda do setor primário  .</t>
  </si>
  <si>
    <t>1º</t>
  </si>
  <si>
    <t>2º</t>
  </si>
  <si>
    <t>3º</t>
  </si>
  <si>
    <t>Transf.Convênios</t>
  </si>
  <si>
    <t>MÉDIA</t>
  </si>
  <si>
    <t>Educação- Fundeb</t>
  </si>
  <si>
    <t>Transf.Recursos do FUNDEB</t>
  </si>
  <si>
    <t>Transferência do FUNDEB</t>
  </si>
  <si>
    <t xml:space="preserve">   Deduções da Receita</t>
  </si>
  <si>
    <t xml:space="preserve">     Deduções para o  F U N D E B</t>
  </si>
  <si>
    <t>Recursos sem vinculação/obrigações legais</t>
  </si>
  <si>
    <t>Pessoal exc.saúde/educ./legislativo</t>
  </si>
  <si>
    <t>Outras desp. de custeio e capital</t>
  </si>
  <si>
    <t xml:space="preserve">Demais Receitas Correntes Líquidas </t>
  </si>
  <si>
    <t>Serviços de Saúde</t>
  </si>
  <si>
    <t>Outros Serviços</t>
  </si>
  <si>
    <t>Transf.Recursos FNAS</t>
  </si>
  <si>
    <t>Transf.Recursos FNDE</t>
  </si>
  <si>
    <t>Transf.Financeira - LC nº 87/96</t>
  </si>
  <si>
    <t>Transferências Multigovernamentais</t>
  </si>
  <si>
    <t>Outras Transf.da União</t>
  </si>
  <si>
    <t>Transf.dos Estados</t>
  </si>
  <si>
    <t>Transf.Intergovernamentais</t>
  </si>
  <si>
    <t>Transf.da União</t>
  </si>
  <si>
    <t>Transf.Recursos do SUS</t>
  </si>
  <si>
    <t>Amort. de Empréstimos/Financ.</t>
  </si>
  <si>
    <t>Contribuição de Melhoria</t>
  </si>
  <si>
    <t>Receitas de Capital (B)</t>
  </si>
  <si>
    <t>Multas e Juros de Mora Outras Origens</t>
  </si>
  <si>
    <t>I - RECEITAS CORRENTES(*)</t>
  </si>
  <si>
    <t>Contribuições Previdenciárias do Regime Próprio</t>
  </si>
  <si>
    <t>Comp.Financ. entre Regimes Previdenciários</t>
  </si>
  <si>
    <t>Contribuição para Custeio de Serv.Ilum.Pública</t>
  </si>
  <si>
    <t>Receita de Valores Mobiliários</t>
  </si>
  <si>
    <t>Transferência do Salário-Educação</t>
  </si>
  <si>
    <t>Transf.Cota-parte CIDE</t>
  </si>
  <si>
    <t>Transferências dos Municípios</t>
  </si>
  <si>
    <t>Outras Transf.dos Municípios</t>
  </si>
  <si>
    <t>MUNICÍPIO DE POÇO DAS ANTAS / RS</t>
  </si>
  <si>
    <t>Transf.Convênios União/Estados/Municípios</t>
  </si>
  <si>
    <t>Convênios para Prog.Assist.Social</t>
  </si>
  <si>
    <t>Convênios para Prog.Educação</t>
  </si>
  <si>
    <t>Convênios para Combate à Fome</t>
  </si>
  <si>
    <t>Convênios para Saneamento Básico</t>
  </si>
  <si>
    <t>Outras Transf.Convênios</t>
  </si>
  <si>
    <t>Transf. Intergovernamentais</t>
  </si>
  <si>
    <t xml:space="preserve"> (-) Inativos com recursos vinculados (C)</t>
  </si>
  <si>
    <t>Assistência social</t>
  </si>
  <si>
    <t>Outros Vinculados</t>
  </si>
  <si>
    <t>Não Vinculados</t>
  </si>
  <si>
    <t>Recursos Previdenciários</t>
  </si>
  <si>
    <t>Convênios para  Saúde</t>
  </si>
  <si>
    <t>Pessoal Ativo+Outras Desp de Pessoal Art.18 LRF+ Contr.Patronal (A)</t>
  </si>
  <si>
    <t>ÍNDICES DE INFLAÇÃO</t>
  </si>
  <si>
    <t>Índice para cálculo do Valor Corrente</t>
  </si>
  <si>
    <t xml:space="preserve">CRESCIMENTO ESPERADO DO PIB (Manual: MIP) </t>
  </si>
  <si>
    <t>LEI DE DIRETRIZES ORÇAMENTÁRIAS - ANEXO DE METAS FISCAIS</t>
  </si>
  <si>
    <t>RESULTADO NOMINAL</t>
  </si>
  <si>
    <t>Resultado PRIMÁRIO</t>
  </si>
  <si>
    <t>Resultado NOMINAL</t>
  </si>
  <si>
    <t>METODOLOGIA E MEMÓRIA DE CÁLCULO</t>
  </si>
  <si>
    <t>Dívida Pública Consolidada</t>
  </si>
  <si>
    <t>Dívida Consolidada Líquida</t>
  </si>
  <si>
    <t>ESPECIFICAÇÃO:</t>
  </si>
  <si>
    <t>RECEITAS FISCAIS CORRENTES</t>
  </si>
  <si>
    <t>Transferências de Capital</t>
  </si>
  <si>
    <t>MEMÓRIA DE CÁLCULO</t>
  </si>
  <si>
    <t>II</t>
  </si>
  <si>
    <t>I</t>
  </si>
  <si>
    <t xml:space="preserve"> II</t>
  </si>
  <si>
    <t xml:space="preserve">Receita de Valores Mobiliários </t>
  </si>
  <si>
    <t xml:space="preserve">Receitas CORENTES  </t>
  </si>
  <si>
    <t>III =  I - II</t>
  </si>
  <si>
    <t>IV</t>
  </si>
  <si>
    <t xml:space="preserve">Receitas de CAPITAL  </t>
  </si>
  <si>
    <t>V</t>
  </si>
  <si>
    <t>VI</t>
  </si>
  <si>
    <t>VII</t>
  </si>
  <si>
    <t xml:space="preserve">E </t>
  </si>
  <si>
    <t>VALORES  EFETIVAMENTE ARRECADADOS EM CADA EXERCÍCIO</t>
  </si>
  <si>
    <t xml:space="preserve">  * </t>
  </si>
  <si>
    <t>F =                          B +  (F*) + (G*)</t>
  </si>
  <si>
    <t>G  =             C + (G*)</t>
  </si>
  <si>
    <t>E =                                A + (E*) + (F*) + (G*)</t>
  </si>
  <si>
    <t>I  =                   H + (I*)</t>
  </si>
  <si>
    <t>J  =                   I + (J*)</t>
  </si>
  <si>
    <t>K  =                   J + (K*)</t>
  </si>
  <si>
    <t>L  =                   K + (L*)</t>
  </si>
  <si>
    <t>Memória de Cálculo ----&gt;</t>
  </si>
  <si>
    <t>Memória de Cálculo                                 I                              V</t>
  </si>
  <si>
    <t>METODOLOGIA E MEMÓRIA DE CÁLCULO (COLUNA COM SÍMBOLOS E LETRAS E NÚMERO E OUTRA COLUNA PARA IDENTIFICAR PARÂMETROS DE CORREÇÃO UTILIZADOS   (OBS: L = Linha)</t>
  </si>
  <si>
    <t xml:space="preserve">Operações de Crédito  </t>
  </si>
  <si>
    <t xml:space="preserve">Amort. de Empréstimos/Financ.   </t>
  </si>
  <si>
    <t>AMF  (LRF, art.4°,§1°)</t>
  </si>
  <si>
    <t>DEMONSTRATIVO DAS DESPESAS DE PESSOAL DOS PODERES EXECUTIVO E LEGISLATIVO</t>
  </si>
  <si>
    <t>Pessoal Ativo+Outras Desp de Pessoal Art.18 LRF+ Contr.Patronal</t>
  </si>
  <si>
    <t>Pessoal Inativo e Pensionistas</t>
  </si>
  <si>
    <t xml:space="preserve"> (-) Outras despesas não Computadas </t>
  </si>
  <si>
    <t xml:space="preserve">DESPESA LÍQUIDA TOTAL / RCL </t>
  </si>
  <si>
    <t>METODOLOGIA E MEMÓRIA DE CÁLCULO UTILIZADA..............&gt;</t>
  </si>
  <si>
    <t xml:space="preserve">RECEITA CORRENTE LÍQUIDA </t>
  </si>
  <si>
    <t>A  = SOMA (QUADRO 2 E 3)</t>
  </si>
  <si>
    <t>C  = SOMA (QUADRO 2 E 3)</t>
  </si>
  <si>
    <t>B = SOMA (QUADRO 2 E 3)</t>
  </si>
  <si>
    <t>D  = SOMA (QUADRO 2 E 3)</t>
  </si>
  <si>
    <t>REALIZADO</t>
  </si>
  <si>
    <t>PROJETADO</t>
  </si>
  <si>
    <t xml:space="preserve">   Ocorrência de epidemias, enchentes, vendavais e outras situações de calamidade pública que demandem ações emergenciais.</t>
  </si>
  <si>
    <t>Multas e Juros de Mora  da  D.A.Outros Tributos</t>
  </si>
  <si>
    <t>Soma(L6aL12)</t>
  </si>
  <si>
    <t>MÉDIA DOS 3 ÚLTIMOS ANOS</t>
  </si>
  <si>
    <t>(E+F+G)/3</t>
  </si>
  <si>
    <t>Receita Corrente Bruta      (sem deduções FUNDEB)</t>
  </si>
  <si>
    <t>TAB.RCL ÍTEM 23</t>
  </si>
  <si>
    <t xml:space="preserve">DESPESA LÍQUIDA TOTAL </t>
  </si>
  <si>
    <t>TOTAL</t>
  </si>
  <si>
    <t xml:space="preserve"> V = ( d + c )</t>
  </si>
  <si>
    <t>b</t>
  </si>
  <si>
    <t>EXERCÍCIOS POSTERIORES</t>
  </si>
  <si>
    <t>TOTAL ----------------------------------&gt;</t>
  </si>
  <si>
    <t xml:space="preserve">ANEXO DE METAS FISCAIS </t>
  </si>
  <si>
    <t>DEMONSTRATIVO DA EVOLUÇÃO DO PATRIMÔNIO LÍQUIDO RELATIVO AS TRÊS ÚLTIMOS EXERCÍCIOS</t>
  </si>
  <si>
    <t>2015</t>
  </si>
  <si>
    <t>( - ) Transferências ao FUNDEB                                                                                          (Valor efetivamente transferido p/outros Estados = perda efetiva)</t>
  </si>
  <si>
    <t>( - ) Transferências Constitucionais                                                                             (OBS: Não é aplicado para os Municípios)</t>
  </si>
  <si>
    <t>DEMONSTRATIVO DA ORIGEM E APLICAÇÃO DE RECURSOS DECORRENTES DA ALIENAÇÃO DE BENS</t>
  </si>
  <si>
    <t>DEMONSTRATIVO DE RISCOS FISCAIS E PROVIDÊNCIAS</t>
  </si>
  <si>
    <t>MARGEM DE EXPANSÃO DAS DESPESAS OBRIGATÓRIAS DE CARÁTER CONTINUADO - DOCC</t>
  </si>
  <si>
    <t>METAS FISCAIS ATUAIS COMPARADAS COM OS TRÊS EXERCÍCIOS ANTERIORES</t>
  </si>
  <si>
    <t>DEMONSTRATIVO DA MARGEM DE EXPANSÃO DAS DESPESAS OBRIGATÓRIAS DE CARÁTER CONTINUADO-DOCC</t>
  </si>
  <si>
    <t>PASSIVOS CONTINGENTES</t>
  </si>
  <si>
    <t>EXERCÍCIO FISCAL</t>
  </si>
  <si>
    <t>Demandas Judiciais</t>
  </si>
  <si>
    <t>Dívidas em Processo de Reconhecimento</t>
  </si>
  <si>
    <t>Avais e Garantias Concedidas</t>
  </si>
  <si>
    <t>Assunção de Passivos</t>
  </si>
  <si>
    <t>Assistências Diversas</t>
  </si>
  <si>
    <t>SUBTOTAL</t>
  </si>
  <si>
    <t>DEMAIS RISCOS FISCAIS PASSIVOS</t>
  </si>
  <si>
    <t xml:space="preserve">  Frustração de Arrecadação.</t>
  </si>
  <si>
    <t xml:space="preserve">FÓRMULA.&gt;  4% da Receita Tributária Programada para o período </t>
  </si>
  <si>
    <t xml:space="preserve">   Restituição de Tributos  a Maior.</t>
  </si>
  <si>
    <t>ESTIMATIVA E COMPENSAÇÃO DA RENÚNCIA DE RECEITA</t>
  </si>
  <si>
    <t>RENÚNCIA DE RECEITA PREVISTA</t>
  </si>
  <si>
    <t>SETOR /                PROGRAMA BENEFICIÁRIO</t>
  </si>
  <si>
    <t>(LRF, art. 4º, § 2º, inciso V)</t>
  </si>
  <si>
    <t xml:space="preserve">                            MUNICÍPIO DE POÇO DAS ANTAS / RS</t>
  </si>
  <si>
    <t>TAB. IV</t>
  </si>
  <si>
    <t>Abertura de Créditos adicionais a partir da redução e/ou cancelamento de dotações de despesas que podem ser adiadas .</t>
  </si>
  <si>
    <t>Soma(L20aL29)</t>
  </si>
  <si>
    <t xml:space="preserve"> = L61</t>
  </si>
  <si>
    <t>Soma(L63aL68)</t>
  </si>
  <si>
    <t>Soma(L71aL82)</t>
  </si>
  <si>
    <t>L84+L85+L86</t>
  </si>
  <si>
    <t>L88+L89+L94+L95+L111</t>
  </si>
  <si>
    <t>Soma(L90aL93)</t>
  </si>
  <si>
    <t>L96+L97+L110</t>
  </si>
  <si>
    <t>Soma(L98aL109)</t>
  </si>
  <si>
    <t>L37+L62+L69</t>
  </si>
  <si>
    <t>L3+L84</t>
  </si>
  <si>
    <t>L4+L13+L18+L31+ L32+L33+L36-L70</t>
  </si>
  <si>
    <t xml:space="preserve"> =Tab.I, L2</t>
  </si>
  <si>
    <t xml:space="preserve"> =Tab.I, L4</t>
  </si>
  <si>
    <t xml:space="preserve"> =Tab.I, L6</t>
  </si>
  <si>
    <t xml:space="preserve"> =Tab.I, L7</t>
  </si>
  <si>
    <t xml:space="preserve"> =Tab.I, L9</t>
  </si>
  <si>
    <t xml:space="preserve"> =Tab.I, L10</t>
  </si>
  <si>
    <t>Pág.1/1</t>
  </si>
  <si>
    <t>Alienações Educação- MDE</t>
  </si>
  <si>
    <t>G - F</t>
  </si>
  <si>
    <t>H - G</t>
  </si>
  <si>
    <t>(LRF, art.4º,§2º,inciso III)</t>
  </si>
  <si>
    <t xml:space="preserve">EVOLUÇÃO DO PATRIMÔNIO LÍQUIDO </t>
  </si>
  <si>
    <t xml:space="preserve"> ORIGEM E APLICAÇÃO DE RECURSOS OBTIDOS COM A ALIENAÇÃO DE ATIVOS</t>
  </si>
  <si>
    <t xml:space="preserve">(LRF, art. 4º, § 2º, inciso IV, alínea A) </t>
  </si>
  <si>
    <t xml:space="preserve"> RECEITAS E DESPESAS PREVIDENCIÁRIAS DO REGIME PRÓPRIO DE PREVIDÊNCIA DOS SERVIDORES</t>
  </si>
  <si>
    <t>FONTE: Relatórios de Gestão Fiscal dos Poderes: Executivo e Legislativo</t>
  </si>
  <si>
    <t>Pág. 1/1</t>
  </si>
  <si>
    <t>AMF:   L.R.F. Art. 4º, §1º</t>
  </si>
  <si>
    <t>RECEITAS REALIZADAS</t>
  </si>
  <si>
    <t>RECEITAS DE CAPITAL -&gt; Alienação de Ativos</t>
  </si>
  <si>
    <t>Alienação de Bens Imóveis</t>
  </si>
  <si>
    <t>DESPESAS EXECUTADAS</t>
  </si>
  <si>
    <t xml:space="preserve">DESPESAS CORRENTES DOS REGIMES DE PREVIDÊNCIA </t>
  </si>
  <si>
    <t>Regime Geral de Previdência Social</t>
  </si>
  <si>
    <t>Regime Próprio de Previdência Social</t>
  </si>
  <si>
    <t>RECEITAS</t>
  </si>
  <si>
    <t>DESPESAS</t>
  </si>
  <si>
    <t>RESULTADO PREVIDENCIÁRIO</t>
  </si>
  <si>
    <t>Receitas Correntes</t>
  </si>
  <si>
    <t>Receitas de Capital</t>
  </si>
  <si>
    <t>Despesas Correntes</t>
  </si>
  <si>
    <t>Despesas de Capital</t>
  </si>
  <si>
    <t>DEMONSTRATIVO DAS RECEITAS E DESPESAS PREVIDENCIÁRIAS DO REGIME PRÓPRIO DE PREVIDÊNCIA DOS SERVIDORES</t>
  </si>
  <si>
    <t>ESTIMATIVA</t>
  </si>
  <si>
    <t>COMPENSAÇÃO</t>
  </si>
  <si>
    <t>DEMONSTRATIVO DA ESTIMATIVA E COMPENSAÇÃO DA RENÚNCIA DE RECEITA</t>
  </si>
  <si>
    <t>MODALIDADE</t>
  </si>
  <si>
    <t>Aumento Permanente da Receita</t>
  </si>
  <si>
    <t>Saldo Final do Aumento Permanente da Receita</t>
  </si>
  <si>
    <t xml:space="preserve">Redução Permanente da Despesa </t>
  </si>
  <si>
    <t>Saldo Utilizado da Margem Bruta</t>
  </si>
  <si>
    <t>MARGEM LÍQUIDA DE EXPANSÃO DE DOCC</t>
  </si>
  <si>
    <t>PATRIMÔNIO LÍQUIDO</t>
  </si>
  <si>
    <t>TOTAL -------------------------------------------------&gt;</t>
  </si>
  <si>
    <t>R$ mil médios/2001</t>
  </si>
  <si>
    <t>DISCRIMINAÇÃO</t>
  </si>
  <si>
    <t>RECEITA</t>
  </si>
  <si>
    <t>Cota-parte do IPVA</t>
  </si>
  <si>
    <t>TAB1  (A46 -A83)</t>
  </si>
  <si>
    <t>Receita Tributária (A)</t>
  </si>
  <si>
    <t>IPTU</t>
  </si>
  <si>
    <t>ITBI</t>
  </si>
  <si>
    <t>ISS</t>
  </si>
  <si>
    <t>IVVC</t>
  </si>
  <si>
    <t>Transferências Constitucionais (B)</t>
  </si>
  <si>
    <t>ITR (Art.158, CF/1998)</t>
  </si>
  <si>
    <t>IPVA (Art.158, CF/1998)</t>
  </si>
  <si>
    <t>TAB. V</t>
  </si>
  <si>
    <t>b = Créditos em Circulação</t>
  </si>
  <si>
    <t>a = Operação de Crédito (Saldos de Empréstimos e Financiamentos)</t>
  </si>
  <si>
    <t>2014</t>
  </si>
  <si>
    <t>Convênios DAER (Rótulas e Acesos)</t>
  </si>
  <si>
    <t>Convênios Min. Cidades ( Édio Dilli)</t>
  </si>
  <si>
    <t>L 3 + L87</t>
  </si>
  <si>
    <t xml:space="preserve">MÉDIA DOS 3 ÚLTIMOS ANOS  </t>
  </si>
  <si>
    <t>H =                                     (E+F+G)/3</t>
  </si>
  <si>
    <t>AMF (art. 4º, § 2º, inciso V)</t>
  </si>
  <si>
    <t>Receitas da Dívida Ativa CONTRIB. MELHORIA</t>
  </si>
  <si>
    <t>Receitas da Dívida Ativa Outras Origens Não-Tributárias</t>
  </si>
  <si>
    <t>Educação- MDE</t>
  </si>
  <si>
    <t>Saúde  - ASPS</t>
  </si>
  <si>
    <t>Saúde  - Outros Vinculados</t>
  </si>
  <si>
    <t>Educação-  Outros Vinculados</t>
  </si>
  <si>
    <t>IV-RECEITA CORRENTE LÍQUIDA (I-II) - III</t>
  </si>
  <si>
    <t>III - Ajustes Perdas FUNDEB  (IN35/2008 TCE/RS)</t>
  </si>
  <si>
    <t xml:space="preserve">     DEDUÇÕES DA REC. CORRENTE (TRIBUTOS)</t>
  </si>
  <si>
    <t>2012</t>
  </si>
  <si>
    <t>2013</t>
  </si>
  <si>
    <t xml:space="preserve"> DESPESAS ESTIMADAS</t>
  </si>
  <si>
    <t>III +  IV  -  V</t>
  </si>
  <si>
    <t>ANEXO DE RISCOS FISCAIS</t>
  </si>
  <si>
    <t xml:space="preserve">LEI DE DIRETRIZES ORÇAMENTÁRIAS </t>
  </si>
  <si>
    <t>DOIS EXERCÍCIOS SEGUINTES</t>
  </si>
  <si>
    <t>VALORES EM R$</t>
  </si>
  <si>
    <t>PROVIDÊNCIAS</t>
  </si>
  <si>
    <t>METODOLOGIA E MEMÓRIA DE CÁLCULO                                                                               (Incluir a leitura das OBS. abaixo)</t>
  </si>
  <si>
    <t xml:space="preserve"> DESCRIÇÃO</t>
  </si>
  <si>
    <t>deixar de repassar auxílios financeiros para as entidades, ou ainda, cancelar benefícios (auxílios financeiros concedidos para pessoas físicas) se necessário.</t>
  </si>
  <si>
    <t>Canc. de R. Pagar p/ Rec. Orçam.</t>
  </si>
  <si>
    <t>VIII</t>
  </si>
  <si>
    <t>IX=IV-V-VI-VII-VIII</t>
  </si>
  <si>
    <t>X =  III + IX</t>
  </si>
  <si>
    <t>XII</t>
  </si>
  <si>
    <t>XV</t>
  </si>
  <si>
    <t>XVI = XIV - XV</t>
  </si>
  <si>
    <t>XVII</t>
  </si>
  <si>
    <t>XVIII = XIII+XVI+XVII</t>
  </si>
  <si>
    <t>MARGEM BRUTA</t>
  </si>
  <si>
    <t>a</t>
  </si>
  <si>
    <t>Novas DOCC geradas por PPP -Parcerias Público Privadas</t>
  </si>
  <si>
    <t xml:space="preserve">III </t>
  </si>
  <si>
    <t>IV =  II + III</t>
  </si>
  <si>
    <t>d</t>
  </si>
  <si>
    <t xml:space="preserve">VI = IV - V </t>
  </si>
  <si>
    <t>Novas DOCC : Despesas Obrigatórias de Carácter Continuado.</t>
  </si>
  <si>
    <t>ÌTEM:</t>
  </si>
  <si>
    <t>c</t>
  </si>
  <si>
    <t>Convênios FES - Ambulância</t>
  </si>
  <si>
    <t>Convênios FES - VAN</t>
  </si>
  <si>
    <t>Convênios SEC - Biblioteca Viva</t>
  </si>
  <si>
    <t xml:space="preserve"> CRESC. VEGET. FOLHA SALARIAL DO PODER LEGISLATIVO. </t>
  </si>
  <si>
    <t>PASSIVOS RECONHECIDOS</t>
  </si>
  <si>
    <t>TRIBUTO</t>
  </si>
  <si>
    <t>MUNICIPAIS</t>
  </si>
  <si>
    <r>
      <t xml:space="preserve">FÓRMULA.&gt; 2,00%  </t>
    </r>
    <r>
      <rPr>
        <b/>
        <sz val="6"/>
        <rFont val="Arial"/>
        <family val="2"/>
      </rPr>
      <t>para menos</t>
    </r>
    <r>
      <rPr>
        <sz val="6"/>
        <rFont val="Arial"/>
        <family val="2"/>
      </rPr>
      <t xml:space="preserve"> sobre o valor total da receita corrente prevista, conforme tabela :  inflação anual IPCA com risco de  2,00 para + ou 2,00 para  (-) .</t>
    </r>
  </si>
  <si>
    <t>METODOLOGIA E MEMÓRIA DE CÁLCULO.....................................................&gt;</t>
  </si>
  <si>
    <t>Página 1 de 4</t>
  </si>
  <si>
    <t>II = I - (a+ b)</t>
  </si>
  <si>
    <t>ANEXO DE METAS FISCAIS</t>
  </si>
  <si>
    <t>Receita Total</t>
  </si>
  <si>
    <t>Despesa Total</t>
  </si>
  <si>
    <t>IDENTIFICAÇÃO POR LETRAS (P)----------------------------------&gt;</t>
  </si>
  <si>
    <t>IRRF (Art.158, CF/1998)</t>
  </si>
  <si>
    <t>ICMS (Art.158, CF/1998)</t>
  </si>
  <si>
    <t>FPM (Art.159, CF/1998)</t>
  </si>
  <si>
    <t>IPI-EX (Art.159, CF/1998)</t>
  </si>
  <si>
    <t>TABELA VII</t>
  </si>
  <si>
    <t>EMENDA CONSTITUCIONAL No.25</t>
  </si>
  <si>
    <t>TAXAS</t>
  </si>
  <si>
    <t>IOC S/OURO (Art.153, Par.5o., CF/1998)</t>
  </si>
  <si>
    <t>Total (C) = (A) + (B)</t>
  </si>
  <si>
    <t>(*) Ano anterior ao de Limite da Despesa - Projeto de LOA</t>
  </si>
  <si>
    <t>Limite da Despesa</t>
  </si>
  <si>
    <t>Despesa Prevista</t>
  </si>
  <si>
    <t>Legislativo Total</t>
  </si>
  <si>
    <t>Legislativo Pessoal Ativo</t>
  </si>
  <si>
    <t xml:space="preserve"> DESPESAS LIQUIDADAS</t>
  </si>
  <si>
    <t>Pessoal Inativo e Pensionistas (B)</t>
  </si>
  <si>
    <t xml:space="preserve"> VI = III de C - III de B idem... </t>
  </si>
  <si>
    <t>Índice</t>
  </si>
  <si>
    <t>Ano</t>
  </si>
  <si>
    <t>R$ Mil médios</t>
  </si>
  <si>
    <t>ESPECIFICAÇÃO</t>
  </si>
  <si>
    <t>Receita Tributária</t>
  </si>
  <si>
    <t>Outras</t>
  </si>
  <si>
    <t>Transferências Correntes</t>
  </si>
  <si>
    <t>Cota-Parte do ICMS</t>
  </si>
  <si>
    <t>Cota-Parte do IPVA</t>
  </si>
  <si>
    <t>Outras Transferências</t>
  </si>
  <si>
    <t>Demais Receitas Correntes</t>
  </si>
  <si>
    <t>II - DEDUÇÕES</t>
  </si>
  <si>
    <t>Compensação Financeira entre Regimes</t>
  </si>
  <si>
    <t>Dados Financeiros (em R$ 1.000)</t>
  </si>
  <si>
    <t>TOTAL GERAL DOS PROGRAMAS</t>
  </si>
  <si>
    <t>AÇÕES / PRODUTOS / FUNÇÃO / SUBFUNÇÃO</t>
  </si>
  <si>
    <t>Unidade de Medida</t>
  </si>
  <si>
    <t>Ação:</t>
  </si>
  <si>
    <t>Executar todas as tarefas de atribuição e competência da Câmara de Vereadores.</t>
  </si>
  <si>
    <t>Meta Física</t>
  </si>
  <si>
    <t>0001</t>
  </si>
  <si>
    <t>Produto:</t>
  </si>
  <si>
    <t>Valor</t>
  </si>
  <si>
    <t>Função:</t>
  </si>
  <si>
    <t>01</t>
  </si>
  <si>
    <t>Legislativa</t>
  </si>
  <si>
    <t>Subfunção:</t>
  </si>
  <si>
    <t>031</t>
  </si>
  <si>
    <t>Ação Legislativa</t>
  </si>
  <si>
    <t>Executar todas as tarefas de competência do o Gabinete do Prefeito.</t>
  </si>
  <si>
    <t>0010</t>
  </si>
  <si>
    <t>Gabinete em plena atividade</t>
  </si>
  <si>
    <t>04</t>
  </si>
  <si>
    <t>Administração</t>
  </si>
  <si>
    <t>122</t>
  </si>
  <si>
    <t>Administração Geral</t>
  </si>
  <si>
    <t>Executar todas as tarefas de competência da Secretaria da Administração.</t>
  </si>
  <si>
    <t>Setor Administrativo em plena atividade</t>
  </si>
  <si>
    <t>121</t>
  </si>
  <si>
    <t>Planejamento e Orçamento</t>
  </si>
  <si>
    <t>0012</t>
  </si>
  <si>
    <t>Serviços da Fazenda em plena atividade.</t>
  </si>
  <si>
    <t>123</t>
  </si>
  <si>
    <t>Administração Financeira</t>
  </si>
  <si>
    <t>P</t>
  </si>
  <si>
    <t>Dispor da reserva de recursos para cumprir com o repasse financeiro do Incentivo Fiscal para o Frigorífico de Suínos. (% recurso livre)</t>
  </si>
  <si>
    <t>Incentivo Fiscal Concedido</t>
  </si>
  <si>
    <t>Comércio e Serviços</t>
  </si>
  <si>
    <t>692</t>
  </si>
  <si>
    <t>Comercialização</t>
  </si>
  <si>
    <t>Criar leis para conceder auxílios financeiros para entidades/associações e disponibilizar recursos.</t>
  </si>
  <si>
    <t>0013</t>
  </si>
  <si>
    <t xml:space="preserve">RECEITAS PRIMÁRIAS  </t>
  </si>
  <si>
    <t xml:space="preserve">DESCRIÇÃO </t>
  </si>
  <si>
    <t>EXERCÍCIOS ANTERIORES</t>
  </si>
  <si>
    <t>ATUAL</t>
  </si>
  <si>
    <t>META FISCAL - RESULTADO PRIMÁRIO</t>
  </si>
  <si>
    <t>Outras  Receitas Correntes</t>
  </si>
  <si>
    <t>Pessoal e Encargos Sociais</t>
  </si>
  <si>
    <t>Rendidmentos de Aplicações (Rec.Previdenciários)</t>
  </si>
  <si>
    <t xml:space="preserve">    I R R F</t>
  </si>
  <si>
    <t>Deduções da Receita (Fundeb e Outras)</t>
  </si>
  <si>
    <t xml:space="preserve"> (-) Outras despesas não Computadas (D)</t>
  </si>
  <si>
    <t>EXERCÍCIO ATUAL</t>
  </si>
  <si>
    <t>EXERCÍCIOS FUTUROS</t>
  </si>
  <si>
    <t>VALORES EM PREÇOS CORRENTES</t>
  </si>
  <si>
    <t>VALORES EM PREÇOS CONSTANTES</t>
  </si>
  <si>
    <t>A</t>
  </si>
  <si>
    <t>AMF (LRF, art.4°, §2º, inciso III)</t>
  </si>
  <si>
    <t>AMF (LRF, art.4°,§1°)</t>
  </si>
  <si>
    <t xml:space="preserve">RECEITAS FISCAIS DE CAPITAL </t>
  </si>
  <si>
    <t xml:space="preserve">QUADRO 3 :                                                          DESPESAS DE PESSOAL - PODER LEGISLATIVO </t>
  </si>
  <si>
    <t xml:space="preserve">DEMONSTRATIVO DO RESULTADO NOMINAL E DÍVIDA PÚBLICA CONSOLIDADA </t>
  </si>
  <si>
    <t>META FISCAL -  RESULTADO NOMINAL E DÍVIDA CONSOLIDADA</t>
  </si>
  <si>
    <t>ATUAL/ ORÇADO</t>
  </si>
  <si>
    <t xml:space="preserve">TOTAL GERAL DA RECEITA </t>
  </si>
  <si>
    <t>TAB. X</t>
  </si>
  <si>
    <t>%</t>
  </si>
  <si>
    <t>AMF (art. 4º, § 2º, inciso III da Lei Complementar 101/2000)</t>
  </si>
  <si>
    <t>Reservas</t>
  </si>
  <si>
    <t>Resultado Acumulado</t>
  </si>
  <si>
    <t xml:space="preserve"> Patrimônio/Capital</t>
  </si>
  <si>
    <t xml:space="preserve">   DIFERENÇA REND. APLIC. PNTE - PAD / 2012</t>
  </si>
  <si>
    <t>REGIME PREVIDENCIÁRIO</t>
  </si>
  <si>
    <t xml:space="preserve"> Patrimônio</t>
  </si>
  <si>
    <t>Lucros ou Prejuízos Acumulados</t>
  </si>
  <si>
    <t>AMF   (LRF, art.4°,§1°)</t>
  </si>
  <si>
    <t>DEMONSTRATIVO DO RESULTADO PRIMÁRIO</t>
  </si>
  <si>
    <t>ARF (LRF, art.4°,§3° )</t>
  </si>
  <si>
    <t xml:space="preserve">TOTAL </t>
  </si>
  <si>
    <t>AMF(LRF, art.4°,§1°)</t>
  </si>
  <si>
    <t xml:space="preserve"> CRESC. AUTÔNOMO DE OUTROS CUSTEIOS</t>
  </si>
  <si>
    <t>ITEM</t>
  </si>
  <si>
    <t>E x 1+Parâm. Bpn°+ Bpn°</t>
  </si>
  <si>
    <t>F x 1+Parâm.  Cn°+ Cn°</t>
  </si>
  <si>
    <t>INDICE                PARA:</t>
  </si>
  <si>
    <t>DESPESA</t>
  </si>
  <si>
    <t>QUADRO 2:                                                                           DESPESAS DE PESSOAL - PODER  EXECUTIVO</t>
  </si>
  <si>
    <t>QUADRO 1:                                                                                         DESPESAS DE PESSOAL                                                                           TOTAL DO MUNICÍPIO</t>
  </si>
  <si>
    <t>TAB. I</t>
  </si>
  <si>
    <t>TAB. II</t>
  </si>
  <si>
    <t>TAB. III</t>
  </si>
  <si>
    <t>TAB. VII</t>
  </si>
  <si>
    <t>ORIGEM:</t>
  </si>
  <si>
    <t>APLICAÇÃO:</t>
  </si>
  <si>
    <t>TAB. VIII</t>
  </si>
  <si>
    <t>TAB. VI</t>
  </si>
  <si>
    <t>TAB. IX b</t>
  </si>
  <si>
    <t>TAB. IX a</t>
  </si>
  <si>
    <t>TAB. "p"</t>
  </si>
  <si>
    <t xml:space="preserve">I </t>
  </si>
  <si>
    <t>META FISCAL - RECEITA TOTAL</t>
  </si>
  <si>
    <t>PARÂMETROS PARA ELABORAÇÃO DAS METAS DA RECEITA E DESPESA</t>
  </si>
  <si>
    <t xml:space="preserve">META FISCAL - DESPESA TOTAL </t>
  </si>
  <si>
    <t>ÍTEM</t>
  </si>
  <si>
    <t>Transf.Compens.Financ.Explor.Rec.Naturais CPFE</t>
  </si>
  <si>
    <t>DEMONSTRATIVO DAS METAS PRIORITÁRIAS DA LEI DE DIRETRIZES ORÇAMENTÁRIAS</t>
  </si>
  <si>
    <t>DEMONSTRATIVO DA RECEITA CORRENTE LÍQUIDA</t>
  </si>
  <si>
    <t>1</t>
  </si>
  <si>
    <t>2</t>
  </si>
  <si>
    <t>3</t>
  </si>
  <si>
    <t>4</t>
  </si>
  <si>
    <t>5</t>
  </si>
  <si>
    <t>6</t>
  </si>
  <si>
    <t>7</t>
  </si>
  <si>
    <t>8</t>
  </si>
  <si>
    <t>9</t>
  </si>
  <si>
    <t>10</t>
  </si>
  <si>
    <t>11</t>
  </si>
  <si>
    <t>12</t>
  </si>
  <si>
    <t>13</t>
  </si>
  <si>
    <t>14</t>
  </si>
  <si>
    <t>15</t>
  </si>
  <si>
    <t>16</t>
  </si>
  <si>
    <t>17</t>
  </si>
  <si>
    <t>18</t>
  </si>
  <si>
    <t>19</t>
  </si>
  <si>
    <t>20</t>
  </si>
  <si>
    <t>21</t>
  </si>
  <si>
    <t>22</t>
  </si>
  <si>
    <t>23</t>
  </si>
  <si>
    <t xml:space="preserve">Receitas Primárias:  Não-Financeiras </t>
  </si>
  <si>
    <t xml:space="preserve">Despesas Primárias:  Não-Financeiras </t>
  </si>
  <si>
    <t>III = I-II</t>
  </si>
  <si>
    <t>J</t>
  </si>
  <si>
    <t>K</t>
  </si>
  <si>
    <t>L</t>
  </si>
  <si>
    <t xml:space="preserve">Pessoal Ativo+Outras Desp de Pessoal Art.18 LRF+ Contr.Patronal </t>
  </si>
  <si>
    <t xml:space="preserve">Pessoal Inativo e Pensionistas </t>
  </si>
  <si>
    <t xml:space="preserve"> (-) Inativos com recursos vinculados</t>
  </si>
  <si>
    <t xml:space="preserve"> (-) Outras despesas não Computadas</t>
  </si>
  <si>
    <t>F=(A+B)-(C+D+E)</t>
  </si>
  <si>
    <t xml:space="preserve">DESPESA LÍQUIDA DE PESSOAL TOTAL </t>
  </si>
  <si>
    <t>G=E/F</t>
  </si>
  <si>
    <t xml:space="preserve">RECEITA CORRENTE LÍQUIDA - RCL </t>
  </si>
  <si>
    <t>IDENTIFICAÇÃO (METODOLOGIA E MEMÓRIA DE CÁLCULO)</t>
  </si>
  <si>
    <t>ORÇADO PARA O EXERCÍCIO</t>
  </si>
  <si>
    <t>FÓRMULA.&gt; 2% da Receita Tributária Programada para o período-</t>
  </si>
  <si>
    <t>Discrepância de Projeções.</t>
  </si>
  <si>
    <t>FÓRMULA.&gt; 1% sobre o valor da receita corrente líquida prevista</t>
  </si>
  <si>
    <t>FÓRMULA.&gt; 100% do valor  descrito como possível risco nos itens identiticados na coluna anterior.</t>
  </si>
  <si>
    <t>FÓRMULA.&gt; 3% para mais  a serem fixados para despesas com  juros e correção da dívida calculado sobre o valor fixado para o pagamento da parcela principal da dívida do BRDE</t>
  </si>
  <si>
    <t>u n</t>
  </si>
  <si>
    <t>27</t>
  </si>
  <si>
    <t>Desporto e Lazer</t>
  </si>
  <si>
    <t>813</t>
  </si>
  <si>
    <t>Lazer</t>
  </si>
  <si>
    <t>Executar todas as tarefas de competência do Controle Interno</t>
  </si>
  <si>
    <t>0015</t>
  </si>
  <si>
    <t>Controle Interno em plena atividade e eficiente.</t>
  </si>
  <si>
    <t>124</t>
  </si>
  <si>
    <t>Controle Interno</t>
  </si>
  <si>
    <t>24</t>
  </si>
  <si>
    <t>Comunicações</t>
  </si>
  <si>
    <t>722</t>
  </si>
  <si>
    <t>Telecomunicações</t>
  </si>
  <si>
    <t>Executar todas as atividades relacionadas a assistência de pessoas idosas necessitadas e de competência da Assistência Social</t>
  </si>
  <si>
    <t>0025</t>
  </si>
  <si>
    <t>Idosos Assistidos</t>
  </si>
  <si>
    <t>08</t>
  </si>
  <si>
    <t>Assistência Social</t>
  </si>
  <si>
    <t>241</t>
  </si>
  <si>
    <t>Assistência ao Idoso</t>
  </si>
  <si>
    <t>Executar todas as atividades relacionadas a assistência de pessoas portadoras de necessidades especiais necessitadas e de competência da Assistência Social</t>
  </si>
  <si>
    <t>0026</t>
  </si>
  <si>
    <t>Portadores de Necessidade Especial Assistidas</t>
  </si>
  <si>
    <t>242</t>
  </si>
  <si>
    <t>Assistência ao Portador de Deficiência</t>
  </si>
  <si>
    <r>
      <t>Executar todas as tarefas de competência do</t>
    </r>
    <r>
      <rPr>
        <b/>
        <sz val="8"/>
        <color indexed="30"/>
        <rFont val="Arial"/>
        <family val="2"/>
      </rPr>
      <t xml:space="preserve"> </t>
    </r>
    <r>
      <rPr>
        <sz val="8"/>
        <color indexed="30"/>
        <rFont val="Arial"/>
        <family val="2"/>
      </rPr>
      <t>Conselho Tutelar e de assistência a Criança e Adolescente.</t>
    </r>
  </si>
  <si>
    <t>0027</t>
  </si>
  <si>
    <t>Criança e adolescentes assistidos</t>
  </si>
  <si>
    <t>243</t>
  </si>
  <si>
    <t>Assistência à Criança e Adolescente</t>
  </si>
  <si>
    <t>Executar todas as atividades relacionadas a assistência de pessoas necessitadas e de competência da Assistência Social</t>
  </si>
  <si>
    <t>0029</t>
  </si>
  <si>
    <t>Serviços de assistência social em plena atividade: famílias carentes e outros necessitados atendidos.</t>
  </si>
  <si>
    <t>244</t>
  </si>
  <si>
    <t>Assistência Comunitária</t>
  </si>
  <si>
    <t>Executar todas as tarefas de responsabilidade da Educação Infantil</t>
  </si>
  <si>
    <t>0041</t>
  </si>
  <si>
    <t>Educação</t>
  </si>
  <si>
    <t>365</t>
  </si>
  <si>
    <t>Educação Infantil</t>
  </si>
  <si>
    <t xml:space="preserve">Conceder auxílios e/ou transporte aos alunos do ensino médio, técnico, supletivo e outros. </t>
  </si>
  <si>
    <t>0044</t>
  </si>
  <si>
    <t>Alunos do ensino médio, técnico e supletivo assistidos financeiramente.</t>
  </si>
  <si>
    <t>362</t>
  </si>
  <si>
    <t>Ensino Médio</t>
  </si>
  <si>
    <t>Executar todas as tarefas de responsabilidade da Secretaria de Educação</t>
  </si>
  <si>
    <t>0046</t>
  </si>
  <si>
    <t>Serviços da Secretaria de Educação em plena atividade</t>
  </si>
  <si>
    <t>361</t>
  </si>
  <si>
    <t>Ensino Fundamental</t>
  </si>
  <si>
    <t>Executar todas as tarefas de responsabilidade do Ensino Fundamental</t>
  </si>
  <si>
    <t>0047</t>
  </si>
  <si>
    <t>Serviços de atendimento aos alunos do ensino Fundamental em plena atividade</t>
  </si>
  <si>
    <t>Conceder auxílios e/ou transporte aos alunos do ensino  superior e especialiado.</t>
  </si>
  <si>
    <t>0050</t>
  </si>
  <si>
    <t>Alunos do ensino superior e especializado assistidos financeiramente.</t>
  </si>
  <si>
    <t>364</t>
  </si>
  <si>
    <t>Ensino Superior</t>
  </si>
  <si>
    <t>0054</t>
  </si>
  <si>
    <t>Cultura</t>
  </si>
  <si>
    <t>392</t>
  </si>
  <si>
    <t>Difusão Cultural</t>
  </si>
  <si>
    <t>Contratar empresa para Instalar uma rede com sinal de acesso a telefone direto e/ou celular para as localidades do interior do Município.</t>
  </si>
  <si>
    <t>0056</t>
  </si>
  <si>
    <t>Rede com sinal  de telefone (direto e/ou celular) instalada nas 03 localidades:                   1) -Fritzembeg,                                                                                                                               2) -Boa Vista União e,                                                                                                                3) -Santa Inês</t>
  </si>
  <si>
    <t>Adquirir área de terras para instalação de casas populares.</t>
  </si>
  <si>
    <t>0059</t>
  </si>
  <si>
    <t>Área  de terras adquirida</t>
  </si>
  <si>
    <t>Habitação</t>
  </si>
  <si>
    <t>482</t>
  </si>
  <si>
    <t>Habitação Urbana</t>
  </si>
  <si>
    <t>Executar todas as tarefas para defesa e proteção ao Meio Ambiente.</t>
  </si>
  <si>
    <t>0063</t>
  </si>
  <si>
    <t>Meio Ambiente protegido e áreas de conservação mantidas.</t>
  </si>
  <si>
    <t>Gestão Ambiental</t>
  </si>
  <si>
    <t>541</t>
  </si>
  <si>
    <t>Preservação e Conservação Ambiental</t>
  </si>
  <si>
    <t>0066</t>
  </si>
  <si>
    <t>Executar todas as tarefas relacionadas a Secretaria de Obras e Viação</t>
  </si>
  <si>
    <t>0069</t>
  </si>
  <si>
    <t>Serviços de obras e viação em plena atividade.</t>
  </si>
  <si>
    <t>26</t>
  </si>
  <si>
    <t>Transporte</t>
  </si>
  <si>
    <t>782</t>
  </si>
  <si>
    <t>Transporte Rodoviário</t>
  </si>
  <si>
    <t>Executar todas as tarefas relacionadas a JARI</t>
  </si>
  <si>
    <t>Trânsito seguro e serviços da JARI em plena atividade.</t>
  </si>
  <si>
    <t xml:space="preserve">Contratar uma empreiteira para construção de pista de passeio/caminhada e calçadas para pedestres. </t>
  </si>
  <si>
    <t>Urbanismo</t>
  </si>
  <si>
    <t>451</t>
  </si>
  <si>
    <t>Infra-Estrutura Urbana</t>
  </si>
  <si>
    <t xml:space="preserve">Contratar empreiteiras para executar obras de pavimentação em asfalto e/ou calçamento localidades do interior do Município. </t>
  </si>
  <si>
    <t>FÓRMULA.&gt; 100% do valor previsto para receita dos rendimentos de aplicação financeira decorrente do FPS</t>
  </si>
  <si>
    <t xml:space="preserve">   Outros Riscos Fiscais. </t>
  </si>
  <si>
    <t>FÓRMULA.&gt;  100% do valor previsto para arrecadação como rendimentos de aplicações financeiras do FPS.</t>
  </si>
  <si>
    <t>Soma(L50aL56)</t>
  </si>
  <si>
    <t>L58+L59</t>
  </si>
  <si>
    <t>Soma(L39aL48)</t>
  </si>
  <si>
    <t>Soma(L14aL17)</t>
  </si>
  <si>
    <t>X - XVIII</t>
  </si>
  <si>
    <t xml:space="preserve">a </t>
  </si>
  <si>
    <t>XI = a+XII+b</t>
  </si>
  <si>
    <t>XIII = XI - XII</t>
  </si>
  <si>
    <t>XIV = c+d+XV</t>
  </si>
  <si>
    <t>Transferências Correntes                                                     ( excluídas as deduções do FUNDEB )</t>
  </si>
  <si>
    <t>Dívida Mobiliária</t>
  </si>
  <si>
    <t>Outras Dívidas</t>
  </si>
  <si>
    <t>I = a + b</t>
  </si>
  <si>
    <t>FONTE: Balanços Anuais (Receita)</t>
  </si>
  <si>
    <t>L5+L11+L12</t>
  </si>
  <si>
    <t>L19 + L30</t>
  </si>
  <si>
    <t>L34+L35</t>
  </si>
  <si>
    <t xml:space="preserve">Outros Passivos Contingentes </t>
  </si>
  <si>
    <t xml:space="preserve"> Ativo Real</t>
  </si>
  <si>
    <t>Cód:</t>
  </si>
  <si>
    <t>Programa:</t>
  </si>
  <si>
    <t>Objetivo:</t>
  </si>
  <si>
    <t>Indicador Atual</t>
  </si>
  <si>
    <t>Indicador Estabele-cido para o PPA</t>
  </si>
  <si>
    <t>Valor Global</t>
  </si>
  <si>
    <t>0000</t>
  </si>
  <si>
    <t xml:space="preserve">Realizar Operações Especiais </t>
  </si>
  <si>
    <t>Execução da Ação Legislativa</t>
  </si>
  <si>
    <t>Manter os serviços legislativos e permitir as ações para proporcionar o objetivo geral. (acima)</t>
  </si>
  <si>
    <t>0002</t>
  </si>
  <si>
    <t>Planejamento Governamental</t>
  </si>
  <si>
    <t>0003</t>
  </si>
  <si>
    <t>Estudos e Pesquisas Econômico-Sociais</t>
  </si>
  <si>
    <t>0004</t>
  </si>
  <si>
    <t>Supervisão e Coordenação Administrativa</t>
  </si>
  <si>
    <t>0005</t>
  </si>
  <si>
    <t>Documentação e Bibliografia</t>
  </si>
  <si>
    <t>0006</t>
  </si>
  <si>
    <t>Divulgação Oficial e Institucional</t>
  </si>
  <si>
    <t>0007</t>
  </si>
  <si>
    <t>Capacitação de Recursos Humanos da Administração</t>
  </si>
  <si>
    <t>0008</t>
  </si>
  <si>
    <t>Serviços de Trânsito</t>
  </si>
  <si>
    <t>0009</t>
  </si>
  <si>
    <t>Edificações Públicas</t>
  </si>
  <si>
    <t>Administração Governamental</t>
  </si>
  <si>
    <t>Manter os serviços prestados pelo setor administrativo e permitir ações para proporcionar o objetivo geral. (acima)</t>
  </si>
  <si>
    <t>0011</t>
  </si>
  <si>
    <t>Orgnização e Modernização Administrativa</t>
  </si>
  <si>
    <t>Administração dos Recursos Financeiros</t>
  </si>
  <si>
    <t>Manter os serviços da fazenda e fiscalização municipal , dispor recursos para a criação de novos incentivos para os mais diversos setores da economia do Município objetivando aumentar a arrecadação própria; cumprir com as obrigações de repasses financeiros "incentivo fiscal" assumido  com o frigorífico de suínos e com alugueres e outros incentivos a emperas privadas e permitir as ações para proporcionar o objetivo geral. (acima)</t>
  </si>
  <si>
    <t>Assistência Financeira</t>
  </si>
  <si>
    <t>Dar assistência as entidades associativas, ajudando financeiramente e/ou subsidiando com a prestação de serviços e/ou com fornecimento de materiais a fim de que elas possam se manter e ampliar suas ações. Promover ações para possibilitar o repasse de auxílios e subvenções para entidades assistenciais, proporcionando para as diversas localidades a construção de espaços de lazer e integração e/ou adequados para a prática de esportes e o acesso as mais diversas atividades culturais, e outros meios de entretenimento e assistência, com o objetivo de atingir a população da forma mais ampla possível e principalmente proporcionar o fácil acesso, permitindo que as famílias possam obter estes benefícios em sua própria localidade.Oferecer diversão e entretenimento à população e permitir as ações para proporcionar o objetivo geral (acima)</t>
  </si>
  <si>
    <t>0014</t>
  </si>
  <si>
    <t>Participação Societária</t>
  </si>
  <si>
    <t>Fiscalização da Execução Orçamentária e Financeira</t>
  </si>
  <si>
    <t>Manter os serviços do Controle Interno do Município e permitir as ações para proporcionar o objetivo geral. (acima)</t>
  </si>
  <si>
    <t>0016</t>
  </si>
  <si>
    <t>Informações Geográficas e Estatísticas</t>
  </si>
  <si>
    <t>0017</t>
  </si>
  <si>
    <t>Informática</t>
  </si>
  <si>
    <t>Proporcionar o acesso à internet para todas as localidades do interior do Município.</t>
  </si>
  <si>
    <t>00</t>
  </si>
  <si>
    <t>0018</t>
  </si>
  <si>
    <t>Desenvolvimento de Micro Regiões</t>
  </si>
  <si>
    <t>0019</t>
  </si>
  <si>
    <t>Programas Integrados</t>
  </si>
  <si>
    <t>0020</t>
  </si>
  <si>
    <t>Controle e Fiscalização dos serviços Públicos</t>
  </si>
  <si>
    <t>0021</t>
  </si>
  <si>
    <t>Segurança do Cidadão</t>
  </si>
  <si>
    <t>0022</t>
  </si>
  <si>
    <t>Educação para oTrânsito</t>
  </si>
  <si>
    <t>0023</t>
  </si>
  <si>
    <t>Defesa Contra Sinistros</t>
  </si>
  <si>
    <t>0024</t>
  </si>
  <si>
    <t>Cooperação Técnica</t>
  </si>
  <si>
    <t>Serviços de Assistência ao Idoso</t>
  </si>
  <si>
    <t>Continuar promovendo o encontro de idosos e proporcionar o objetivo geral acima (acima)</t>
  </si>
  <si>
    <t>Serviços de Assistência ao Deficiente</t>
  </si>
  <si>
    <t>Continuar promovendo o encontro de portadores de deficiências e proporcionar o objetivo geral acima (acima)</t>
  </si>
  <si>
    <t>Serviços de Proteção à Criança e Adolescente</t>
  </si>
  <si>
    <t>Manter os serviços do conselho tutelar do Município e permitir as ações para proporcionar o objetivo geral. (acima)</t>
  </si>
  <si>
    <t>0028</t>
  </si>
  <si>
    <t>Assistência ao Educando</t>
  </si>
  <si>
    <t>Assistência Soial Geral</t>
  </si>
  <si>
    <t>Manter os serviços da assistência social e prover todos os meios para permitir as ações e proporcionar o objetivo geral. (acima)</t>
  </si>
  <si>
    <t>0030</t>
  </si>
  <si>
    <t>Assistência Social Comunitária</t>
  </si>
  <si>
    <t>0031</t>
  </si>
  <si>
    <t>Previdência Social p/ servidores do Munic. p/ RJU</t>
  </si>
  <si>
    <t>0032</t>
  </si>
  <si>
    <t>Previd. Soc. p/ servidores Inativos, Pensão Vinc. RJU</t>
  </si>
  <si>
    <t>0033</t>
  </si>
  <si>
    <t>Asssistência Médico-Hospitalar ao Servidor Público</t>
  </si>
  <si>
    <t>0034</t>
  </si>
  <si>
    <t>Assistência Médica e Odontológica Especial</t>
  </si>
  <si>
    <t>0035</t>
  </si>
  <si>
    <t>Produção Controle e Fiscalização da Vigilância</t>
  </si>
  <si>
    <t>0036</t>
  </si>
  <si>
    <t>Normalização, Controle e Distribuição Medicamentos</t>
  </si>
  <si>
    <t>0037</t>
  </si>
  <si>
    <t>Vacinação</t>
  </si>
  <si>
    <t>0038</t>
  </si>
  <si>
    <t>Orientação e Complementação Alimentar</t>
  </si>
  <si>
    <t>0039</t>
  </si>
  <si>
    <t>Serviço Social</t>
  </si>
  <si>
    <t>0040</t>
  </si>
  <si>
    <t>Informação e Pesquisa Sobre Trabalho</t>
  </si>
  <si>
    <t>Educação Pre-escolar</t>
  </si>
  <si>
    <t>Manter a estrutura escolar e o atendimento aos alunos da educação infantil, permitir as ações para proporcionar o objetivo geral. (acima)</t>
  </si>
  <si>
    <t>0042</t>
  </si>
  <si>
    <t>Intermediação de Emprego</t>
  </si>
  <si>
    <t>0043</t>
  </si>
  <si>
    <t>Erradicação do Analfabetismo</t>
  </si>
  <si>
    <t>Cursos de Qualificação</t>
  </si>
  <si>
    <t>Incentivar os munícipes a estudar e concluírem seu ensino médio técnico e/ou normal e permitir as ações para proporcionar o objetivo geral. (acima)</t>
  </si>
  <si>
    <t>0045</t>
  </si>
  <si>
    <t>Ensino Supletivo</t>
  </si>
  <si>
    <t>Administração do Sistema Educacional</t>
  </si>
  <si>
    <t>Manter os serviços da secretaria de educação e permitir as ações para proporcionar o objetivo geral. (acima)</t>
  </si>
  <si>
    <t>Ensino Regular</t>
  </si>
  <si>
    <t>Manter a estrutura escolar e o atendimento aos alunos do Ensino fundamental e permitir as ações para proporcionar o objetivo geral. (acima)</t>
  </si>
  <si>
    <t>0048</t>
  </si>
  <si>
    <t>Pratica, Desport, Recreat e Lazer Comunitário</t>
  </si>
  <si>
    <t>0049</t>
  </si>
  <si>
    <t>Ensino Regular com Formação Profissional</t>
  </si>
  <si>
    <t>Assistência ao Aluno do Ensino Superior</t>
  </si>
  <si>
    <t>Incentivar os munícipes a estudar e concluírem seus estudos nos mais diversos níveis e conhecimento e permitir as ações para proporcionar o objetivo geral. (acima)</t>
  </si>
  <si>
    <t>0051</t>
  </si>
  <si>
    <t>Assistência Maternal</t>
  </si>
  <si>
    <t>0052</t>
  </si>
  <si>
    <t>Assistência a Educação Especial</t>
  </si>
  <si>
    <t>0053</t>
  </si>
  <si>
    <t>Radiodifusão Educativa</t>
  </si>
  <si>
    <t>Desenvolvimento Cultural</t>
  </si>
  <si>
    <t>Garantir a continuidade das atividades culturais, eventos, desporto e lazer, realizadas pelas entidades associativas do Município, a instalação de novas empresas e a permanência de empresas no município, e permitir ações para proporcionar o objetivo geral. (acima)</t>
  </si>
  <si>
    <t>0055</t>
  </si>
  <si>
    <t>Serviços Postais</t>
  </si>
  <si>
    <t>Telefone Rural</t>
  </si>
  <si>
    <t>Proporcionar o acesso a comunicação via telefone a população do interior do Município.</t>
  </si>
  <si>
    <t>03</t>
  </si>
  <si>
    <t>0057</t>
  </si>
  <si>
    <t>Planejamento Urbano</t>
  </si>
  <si>
    <t>0058</t>
  </si>
  <si>
    <t>Melhoramento da Infra Estrutura Urbana</t>
  </si>
  <si>
    <t>Política Habitacional</t>
  </si>
  <si>
    <t>Proporcionar moradia a população carente do Município</t>
  </si>
  <si>
    <t>0060</t>
  </si>
  <si>
    <t>Abastecimento de Água</t>
  </si>
  <si>
    <t>0061</t>
  </si>
  <si>
    <t>Saneamento Geral</t>
  </si>
  <si>
    <t>0062</t>
  </si>
  <si>
    <t>Sistema de Esgotos</t>
  </si>
  <si>
    <t>Proteção ao Meio Ambiente</t>
  </si>
  <si>
    <t>Manter os serviços de proteção e fiscalização do Meio Ambiente e permitir as ações para proporcionar o objetivo geral. (acima)</t>
  </si>
  <si>
    <t>0064</t>
  </si>
  <si>
    <t>Limpeza Pública</t>
  </si>
  <si>
    <t>0065</t>
  </si>
  <si>
    <t>Bacias Hhidrográficas</t>
  </si>
  <si>
    <t>Serviços Funerários</t>
  </si>
  <si>
    <t>Oferecer a população os serviços funerários públicos, atualmente oferecidos apenas pelas entidades religiosas particulares e assim proporcionar o objetivo geral. (acima)</t>
  </si>
  <si>
    <t>0067</t>
  </si>
  <si>
    <t>Iluminação Pública</t>
  </si>
  <si>
    <t>0068</t>
  </si>
  <si>
    <t>Serviços de Transporte Urbano</t>
  </si>
  <si>
    <t>Vias Urbanas</t>
  </si>
  <si>
    <t>Construir pontes, pontilhões, pavimentações, calçadas e passeios para pedestres, etc. e Manter os serviços oferecidos pela secretaria de obras e viação, fazer a abertura de novas vias e  permitir as ações para proporcionar o objetivo geral. (acima).</t>
  </si>
  <si>
    <t>0070</t>
  </si>
  <si>
    <t>Informação Científica e Tecnológica</t>
  </si>
  <si>
    <t>0071</t>
  </si>
  <si>
    <t>Corretivos, Fertilizantes e Agrotóxicos</t>
  </si>
  <si>
    <t>0072</t>
  </si>
  <si>
    <t>Mecanização Agrícola</t>
  </si>
  <si>
    <t>0073</t>
  </si>
  <si>
    <t>Sementes e Mudas</t>
  </si>
  <si>
    <t>0074</t>
  </si>
  <si>
    <t>Produção e Fomento Florestal</t>
  </si>
  <si>
    <t>Assist. Financeira e Material aos Pequenos Produtores</t>
  </si>
  <si>
    <t>Manter os serviços de atendimento aos produtores rurais já existentes e direcionar mais recursos para o setor primário e proporcionar o objetivo geral. (acima)</t>
  </si>
  <si>
    <t>0076</t>
  </si>
  <si>
    <t>Desenvolvimento da Produção Vegetal</t>
  </si>
  <si>
    <t>0077</t>
  </si>
  <si>
    <t>desenvolvimento da Produção Animal</t>
  </si>
  <si>
    <t>0078</t>
  </si>
  <si>
    <t>Desenvolvimento da Aquicultura</t>
  </si>
  <si>
    <t>0079</t>
  </si>
  <si>
    <t>Sanidade Vegetal</t>
  </si>
  <si>
    <t>0080</t>
  </si>
  <si>
    <t>Inspeção e Fiscalização da Produção Vegetal</t>
  </si>
  <si>
    <t>0081</t>
  </si>
  <si>
    <t>Sanidade Animal</t>
  </si>
  <si>
    <t>0082</t>
  </si>
  <si>
    <t>Inspeção de Produtos de Origem Animal</t>
  </si>
  <si>
    <t>0083</t>
  </si>
  <si>
    <t>Estoques Reguladores</t>
  </si>
  <si>
    <t>0084</t>
  </si>
  <si>
    <t>Armazenamento e Silagem</t>
  </si>
  <si>
    <t>0085</t>
  </si>
  <si>
    <t>Distribuição de Produtos Agrícolas</t>
  </si>
  <si>
    <t>0086</t>
  </si>
  <si>
    <t>Cooperativismo e Associativismo</t>
  </si>
  <si>
    <t>0087</t>
  </si>
  <si>
    <t>Assistência e Acompanhamento da Produção</t>
  </si>
  <si>
    <t>0088</t>
  </si>
  <si>
    <t>Promoção de Exposições e Feiras Agropecuáias</t>
  </si>
  <si>
    <t>0089</t>
  </si>
  <si>
    <t>Irrigação da àrea Rural</t>
  </si>
  <si>
    <t>0090</t>
  </si>
  <si>
    <t>Apoio à Comunidades Indígenas</t>
  </si>
  <si>
    <t>0091</t>
  </si>
  <si>
    <t>Regularização Fundiária</t>
  </si>
  <si>
    <t>Complexos Industriais</t>
  </si>
  <si>
    <t>Proporcionar áreas e espaço físico específico para direcionar a incentivos para empresas que queiram se instalar no Município e proporcionar o objetivo geral (acima).</t>
  </si>
  <si>
    <t>0093</t>
  </si>
  <si>
    <t>Pequisa e Produção Mineral</t>
  </si>
  <si>
    <t>Promoção do Turismo</t>
  </si>
  <si>
    <t>Proporcionar a implementação e execução de projetos e programas de turismo promovidos pelo próprio Município, por munícipes e/ou entidades e permitir as ações para proporcionar o objetivo geral (acima)</t>
  </si>
  <si>
    <t>0095</t>
  </si>
  <si>
    <t>Divulgação de Roteiros Turísticos</t>
  </si>
  <si>
    <t>0096</t>
  </si>
  <si>
    <t>Promoção do Comércio</t>
  </si>
  <si>
    <t>Eletrificação Rural</t>
  </si>
  <si>
    <t>Proporcionar acesso a energia trifásica para os moradores das comunidades do interior do Município e proporcionar o objetivo geral (acima).</t>
  </si>
  <si>
    <t>02</t>
  </si>
  <si>
    <t>0098</t>
  </si>
  <si>
    <t>Infra Estrutura Aeroportuária</t>
  </si>
  <si>
    <t>0099</t>
  </si>
  <si>
    <t>Serviços de Transporte Rodoviário</t>
  </si>
  <si>
    <t>0100</t>
  </si>
  <si>
    <t>Controle, Fiscalização e Segurança das Estradas Munic.</t>
  </si>
  <si>
    <t>JARI</t>
  </si>
  <si>
    <t>0101</t>
  </si>
  <si>
    <t>Construção, Restauração e Conservação de Estradas Munic.</t>
  </si>
  <si>
    <t>MANUTENÇÃO OBRAS</t>
  </si>
  <si>
    <t>0102</t>
  </si>
  <si>
    <t>Hidrovias</t>
  </si>
  <si>
    <t>Manter atividades relacionadas ao desporto e lazer nas localidades e permitir as ações para proporcionar o objetivo geral. (acima)</t>
  </si>
  <si>
    <t>Lazer Comunitário</t>
  </si>
  <si>
    <t>Oferecer diversão e entretenimento à população e permitir as ações para proporcionar o objetivo geral (acima)</t>
  </si>
  <si>
    <t>0105</t>
  </si>
  <si>
    <t>Amortização e Encargos da Dívida Interna</t>
  </si>
  <si>
    <t>0106</t>
  </si>
  <si>
    <t>Amortização e Encargos da Dívida Externa</t>
  </si>
  <si>
    <t>Assistência Médica à População</t>
  </si>
  <si>
    <t>Manter e ampliar os serviços prestados pela secretaria da saúde e oferecidos à população e permitir as ações para proporcionar o objetivo geral. (acima)</t>
  </si>
  <si>
    <t>0999</t>
  </si>
  <si>
    <t>Reserva de Contingência</t>
  </si>
  <si>
    <t>Garantir a reserva de disponibilidades financeiras para amenizar problemas gerados por imprevistos de no mínimo 1% sobre a RCL conforme prevê a LRF.</t>
  </si>
  <si>
    <t>TOTAL GERAL DOS PROGRAMAS ------------------------------------------------------------- &gt;</t>
  </si>
  <si>
    <t xml:space="preserve">Contratar empreiteiras para executar obras de asfalto e/ou calçamento nas diversas ruas do centro urbano do Município. </t>
  </si>
  <si>
    <t>Criar leis para proporcionar novos incentivos agrícolas a produtores rurais, oferecer serviços de máquinas e executar todas as tarefas de competência da Secretaria da Agricultura</t>
  </si>
  <si>
    <t>0075</t>
  </si>
  <si>
    <t>Serviços da Secretaria da agricultura, em plena atividade e produtores rurais atendidos.</t>
  </si>
  <si>
    <t>Agricultura</t>
  </si>
  <si>
    <t>606</t>
  </si>
  <si>
    <t>Extensão Rural</t>
  </si>
  <si>
    <t xml:space="preserve">Incentivos Concedidos </t>
  </si>
  <si>
    <t>602</t>
  </si>
  <si>
    <t>Promoção da Produção Animal</t>
  </si>
  <si>
    <t>601</t>
  </si>
  <si>
    <t>Promoção da Produção Vegetal</t>
  </si>
  <si>
    <t>Adquirir área de terras para destinação a instalação de indústrias.</t>
  </si>
  <si>
    <t>0092</t>
  </si>
  <si>
    <t>Indústria</t>
  </si>
  <si>
    <t>661</t>
  </si>
  <si>
    <t>Promoção Industrial</t>
  </si>
  <si>
    <t>Executar todas as tarefas relacionadas e conceder auxílios financeiros para implantação de projetos e programas de turismo no Município.</t>
  </si>
  <si>
    <t>0094</t>
  </si>
  <si>
    <t>Incentivos a atividades, projetos e programas turísticos oferecidos.</t>
  </si>
  <si>
    <t>695</t>
  </si>
  <si>
    <t>Turismo</t>
  </si>
  <si>
    <t>Contratar empresa para Instalação de rede de Energia Elétrica Trifásica nas localidades do interior.</t>
  </si>
  <si>
    <t>0097</t>
  </si>
  <si>
    <t>Energia elétrica trifásica instalada nas comunidades:                                                                                                                                                                                                                                                                              1) -Instalação de rede de Energia Elétrica (Transformador Trifásico)  para a localidade do Goelzemberg;                                                                                                                                                                                                                     2) -Instalação de rede de Energia Elétrica (Transformador Trifásico)  para a localidade do Paris.</t>
  </si>
  <si>
    <t>25</t>
  </si>
  <si>
    <t>Energia</t>
  </si>
  <si>
    <t>752</t>
  </si>
  <si>
    <t>Energia Elétrica</t>
  </si>
  <si>
    <t>0103</t>
  </si>
  <si>
    <r>
      <t>Lazer e</t>
    </r>
    <r>
      <rPr>
        <b/>
        <sz val="8"/>
        <rFont val="Arial"/>
        <family val="2"/>
      </rPr>
      <t xml:space="preserve"> </t>
    </r>
    <r>
      <rPr>
        <sz val="8"/>
        <rFont val="Arial"/>
        <family val="2"/>
      </rPr>
      <t>desporto oferecidos à população.</t>
    </r>
  </si>
  <si>
    <t>Desporto Comunitário</t>
  </si>
  <si>
    <t>0104</t>
  </si>
  <si>
    <t>Atividades Culturais e eventos realizados.</t>
  </si>
  <si>
    <t>Executar todas as tarefas de competência da Secretaria da Saúde.</t>
  </si>
  <si>
    <t>0107</t>
  </si>
  <si>
    <t>Serviços da saúde em plena atividade e população atendida.</t>
  </si>
  <si>
    <t>Saúde</t>
  </si>
  <si>
    <t>301</t>
  </si>
  <si>
    <t>Atenção Básica</t>
  </si>
  <si>
    <t>Fazer uma reserva financeira.</t>
  </si>
  <si>
    <t>9999</t>
  </si>
  <si>
    <t>Imprevistos amenizados</t>
  </si>
  <si>
    <t>28</t>
  </si>
  <si>
    <t>Encargos Especiais</t>
  </si>
  <si>
    <t>846</t>
  </si>
  <si>
    <t>Outros Encargos Especiais</t>
  </si>
  <si>
    <r>
      <rPr>
        <b/>
        <sz val="9"/>
        <rFont val="Arial"/>
        <family val="2"/>
      </rPr>
      <t xml:space="preserve">(*)  Tipo: </t>
    </r>
    <r>
      <rPr>
        <sz val="9"/>
        <rFont val="Arial"/>
        <family val="2"/>
      </rPr>
      <t xml:space="preserve"> P – Projeto       A - Atividade  OE – Operação Especial      NO – Não-orçamentária            </t>
    </r>
  </si>
  <si>
    <t>Janete Veranice Flach</t>
  </si>
  <si>
    <t>SECRETÁRIA MUNICIPAL DA FAZENDA</t>
  </si>
  <si>
    <t>PRÓPRIO</t>
  </si>
  <si>
    <t>VINCULADO</t>
  </si>
  <si>
    <t>RECURSOS</t>
  </si>
  <si>
    <t>Legislativo em plena atividade.</t>
  </si>
  <si>
    <t>Pág.1/2</t>
  </si>
  <si>
    <t>PÁG. 1/2</t>
  </si>
  <si>
    <t>Pág.2/2</t>
  </si>
  <si>
    <t>VLR. DE 2013 ATUALIZADO</t>
  </si>
  <si>
    <r>
      <t>PROJETADO PARA</t>
    </r>
    <r>
      <rPr>
        <b/>
        <sz val="5.5"/>
        <rFont val="Arial"/>
        <family val="2"/>
      </rPr>
      <t xml:space="preserve">                2017</t>
    </r>
  </si>
  <si>
    <t>Convênios FNDE - Cobert. Quadra</t>
  </si>
  <si>
    <t>2017</t>
  </si>
  <si>
    <t>https://www3.bcb.gov.br/expectativas/publico/?wicket:interface=:0:17:::</t>
  </si>
  <si>
    <t>VALORES ATUALIZADOS ATÉ 2013 PELO IPCA</t>
  </si>
  <si>
    <t>Convênios Min.  Turismo (TRANSCITRUS)</t>
  </si>
  <si>
    <t>Avaliação da Situação Financeira e Atuarial do RPPS e Programas Estatais de Natureza Atuarial  (Art. 13, inciso VI da LDO para 2015)</t>
  </si>
  <si>
    <t>Aplicação dos Recursos decorrentes da Alienação de Bens  (Art. 13, inciso VIII da LDO para 2015)</t>
  </si>
  <si>
    <t>Estimativa e Compensação da Renúncia de Receita (art. 13, inciso IX da LDO para 2015)</t>
  </si>
  <si>
    <t xml:space="preserve"> ESFORÇO ARREC. PRÓPRIA - PIT</t>
  </si>
  <si>
    <t>Serviços de atendimento da criança da Educação Infantil em plena atividade.</t>
  </si>
  <si>
    <t xml:space="preserve">Cálculo da Receita Corrente Líquida   -      (Art.13, inciso  II da LDO para 2015)                                                                                                        </t>
  </si>
  <si>
    <t xml:space="preserve">Demonstrativos da Despesa com Pessoal dos Poderes Executivo e Legislativo   (Art.13, inciso  III da LDO para 2015)                                                                                                        </t>
  </si>
  <si>
    <t xml:space="preserve">Auxilios concedidos:                                                                                                                                                                                                                                                                                                                                                                                                                                                                                                                                  2) Auxílio para reformas da sede da Sociedade Amizade Fritzemberg para adequação ao Plano de Prevenção a Incêndios - PPI;  R$ 15.000,00                                                               3) Auxílio Financeiro para reformas internas, melhorias e modificações da sede da Sociedade 12 de Maio para adequações ao Plano de Prevenção a Incêndios - PPI; R$ 20.000,00                                                                                                                                                                                                                                                                                                     6) Auxílio financeiro para ampliação (duplicação) da rede de água da localidade de Paris c/rede trifásica;  R$ 10.000,00                                                                                                                                                                  </t>
  </si>
  <si>
    <t>VARA JUDICIAL Comarca TT/RS: Vlr.Original dos  Processos.: 159/1.10.0002434-6; 159/1.10.00001595-7; 159/1.10.0001661-0; 159/1.09.0000991-6; 159/1.14.0000267-6; 159/1.10.0002262-9; 159/1.09.0002663-0; 159/1.12.0000514-0; 159/1.13.0001857-0; 159/1.14.0000121-1;159/1.14.0000437-7;</t>
  </si>
  <si>
    <t>PÁG. 1/6</t>
  </si>
  <si>
    <t>PÁG. 2/6</t>
  </si>
  <si>
    <t>PÁG. 3/6</t>
  </si>
  <si>
    <t>PÁG. 4/6</t>
  </si>
  <si>
    <t>PÁG. 5/6</t>
  </si>
  <si>
    <t>PÁG. 6/6</t>
  </si>
  <si>
    <t>Página: 6/6</t>
  </si>
  <si>
    <t>Página: 5/6</t>
  </si>
  <si>
    <t>Página: 4/6</t>
  </si>
  <si>
    <t>Página: 3/6</t>
  </si>
  <si>
    <t>Página: 2/6</t>
  </si>
  <si>
    <t>Página: 1/6</t>
  </si>
  <si>
    <t xml:space="preserve"> = E - 0,00</t>
  </si>
  <si>
    <t>Convênios MAPA - Trator Agrícola</t>
  </si>
  <si>
    <t>Convênios MAPA - Patrulha Agrícola</t>
  </si>
  <si>
    <t>Convênios FNDE - Escola 06 Salas</t>
  </si>
  <si>
    <t>Convênios FNDE - Ônibus Rural Ore 1 Micro</t>
  </si>
  <si>
    <t>Convênios FNS - Equipamentos Saúde</t>
  </si>
  <si>
    <t>Construção e implantação do Novo Centro de Educação</t>
  </si>
  <si>
    <t>Adquirir 01 Onibus Rural Ore 1 Micro para melhor o transporte scolar dos alunos do ensino fundamental</t>
  </si>
  <si>
    <t>Equipamentos de Saúde</t>
  </si>
  <si>
    <t>Adquirir equipamentos para melhor estruturar a UBS do Municípios.</t>
  </si>
  <si>
    <t>METODOLOGIA E MEMÓRIA DE CÁLCULO PARA 2013 E DOIS SEGUINTES                   I V</t>
  </si>
  <si>
    <t>Executar todas as tarefas para proporcionar lazer e desporto aos munícipes (Parque).</t>
  </si>
  <si>
    <t xml:space="preserve">  Alteração na taxa de juros e/ou correção do empréstimo PIMES - BADESUL. </t>
  </si>
  <si>
    <t>VLR. DE 2014 ATUALIZADO</t>
  </si>
  <si>
    <r>
      <t xml:space="preserve">MÉDIA ATUALIZADA </t>
    </r>
    <r>
      <rPr>
        <b/>
        <sz val="5.5"/>
        <color indexed="8"/>
        <rFont val="Arial"/>
        <family val="2"/>
      </rPr>
      <t>2015</t>
    </r>
  </si>
  <si>
    <t>ESTIMATIVA DAS RECEITAS PARA O EXERCÍCIO DE 2016 - ( LRF 101/2000, ART. 12, PARÁGRAFO 3º )</t>
  </si>
  <si>
    <t>EXERCÍCIO: 2016</t>
  </si>
  <si>
    <r>
      <t>PROJETADO PARA</t>
    </r>
    <r>
      <rPr>
        <b/>
        <sz val="5.5"/>
        <rFont val="Arial"/>
        <family val="2"/>
      </rPr>
      <t xml:space="preserve">                2018</t>
    </r>
  </si>
  <si>
    <t>EXERCÍCIO 2016</t>
  </si>
  <si>
    <t>MÉDIA ATÉ 2014</t>
  </si>
  <si>
    <t>2018</t>
  </si>
  <si>
    <t>MÉDIA ATUALIZADA até junho de 2015</t>
  </si>
  <si>
    <t>PROJETADO PARA 2015</t>
  </si>
  <si>
    <t>2015                       JUNHO</t>
  </si>
  <si>
    <t>Junho de 2015</t>
  </si>
  <si>
    <t>(Art. 13, inciso VII da LDO para 2016)</t>
  </si>
  <si>
    <r>
      <t xml:space="preserve">PROJETADO PARA                 </t>
    </r>
    <r>
      <rPr>
        <b/>
        <sz val="5.5"/>
        <rFont val="Arial"/>
        <family val="2"/>
      </rPr>
      <t>2016</t>
    </r>
  </si>
  <si>
    <t>Convênios FUNDERGS (Ap. Ginástica)</t>
  </si>
  <si>
    <t xml:space="preserve"> PERCENTUAL DE AUMENTO SALARIAL (CORREÇÃO ANUAL DOS VENCIMENTOS DOS SERVIDORES SOBRE 2015  (%) IGPM</t>
  </si>
  <si>
    <t>Marelisa Neumann</t>
  </si>
  <si>
    <t>CONTADORA CRC/RS 85.886</t>
  </si>
  <si>
    <t>Glicério Ivo Junges</t>
  </si>
  <si>
    <t>PREFEITO MUNICIPAL</t>
  </si>
  <si>
    <t xml:space="preserve">CRESCIMENTO MÉDIO -  IPTU </t>
  </si>
  <si>
    <t>CRESCIMENTO PROJETADO TRANSFERÊNCIAS-ICMS</t>
  </si>
  <si>
    <t>NOTA EXPLICATIVA 1: Para a projeção do Imposto Territorial Predial Urbano-IPTU (Linha 6 da Coluna I) e Deduções do IPTU (Linha 85 da Coluna I), no que se refere ao valor atualizado, não foi feita a média como nas demais receitas  e sim, utilizado o valor efetivamente arrecadado até então (junho/2015).  A projeção para os exercícios de  2016, 2017 e 2018 também não foi feita corrigindo os valores pelo IPCA, projeção estimada para as demais,  somente pela probabilidade dos novos cadastros de imóveis a serem acrescentados ao setor de arrecadação, conforme item 10 da Tabela de Parâmentros. Esta sistemática de cálculo foi adotada em virtude do recadastramento dos imóveis feitos em 2013 (base para arrecadação de 2014).</t>
  </si>
  <si>
    <t>NOTA EXPLICATIVA 2: Na estimativa do ICMS para o exercício de 2016 foi utilizada a média de arredação atualizada (coluna I), acrescida do percentual constante no item 7 da Tabela de Parâmetros, que se refere ao aumento do índice de ICMS para o próximo exercício. Para 2017 e 2018 foi projetado somente o índice do IPCA como para as demais receitas.</t>
  </si>
  <si>
    <t>Inflação  (% anual) realizado e média projetada com base no IPCA, divulgado pelo IBGE em junho/2015.</t>
  </si>
  <si>
    <t>ESTIMATIVA DA RECEITA CORRENTE LÍQUIDA  PARA O EXERCÍCIO DE 2016 - ( LRF 101/2000, ART. 12, PARÁGRAFO 3º )</t>
  </si>
  <si>
    <t xml:space="preserve">ANEXO do Projeto de Lei n°. 051/2015 </t>
  </si>
  <si>
    <t>VALOR PAD/TCE JUNHO/2015</t>
  </si>
  <si>
    <t>H x 1+Parâm.  Apnª + Apnª</t>
  </si>
  <si>
    <t>REALIZADA ATÉ JUNHO 2015</t>
  </si>
  <si>
    <t>M</t>
  </si>
  <si>
    <t xml:space="preserve">Transf.Recursos do SUS </t>
  </si>
  <si>
    <t>Transf.PIT</t>
  </si>
  <si>
    <t xml:space="preserve">     Outras Deduções da Receita Corrente</t>
  </si>
  <si>
    <t>Rendimentos do RPPS</t>
  </si>
  <si>
    <t>Outras Transf.dos Estados/Pessoas</t>
  </si>
  <si>
    <t>Receitas Correntes  excluídas  as deduções do Fundeb e outras deduções correntes</t>
  </si>
  <si>
    <r>
      <t xml:space="preserve">PAD/TCE  </t>
    </r>
    <r>
      <rPr>
        <b/>
        <sz val="9"/>
        <rFont val="Arial"/>
        <family val="2"/>
      </rPr>
      <t xml:space="preserve">JUN/2015 </t>
    </r>
  </si>
  <si>
    <t>Cálculo à Parte:  12 meses JUL/DEZ/14 + JAN/JUN/15</t>
  </si>
  <si>
    <t xml:space="preserve">Depósitos </t>
  </si>
  <si>
    <t xml:space="preserve">Ativo Disponível </t>
  </si>
  <si>
    <t>Preencher-&gt;</t>
  </si>
  <si>
    <t xml:space="preserve">Outras Transf. Correntes (P.Físicas) </t>
  </si>
  <si>
    <t>VALORES ATUALIZADOS ATÉ 2014                                           Índice: IPCA anual</t>
  </si>
  <si>
    <t>PREVISTA</t>
  </si>
  <si>
    <t>PROGRAMADA PARA  2016   Índice: PIB</t>
  </si>
  <si>
    <t>PROJETADA PARA OS 02    (DOIS EXERCÍCIOS SEGUINTES)                                        Índice PIB</t>
  </si>
  <si>
    <r>
      <t xml:space="preserve">MEMÓRIA DE CÁLCULO: As receitas correntes arrecadadas dos exercício de 2012, 2013 e 2014 foram corrigidas pelo IPCA anual até janeiro de 2015. Depois foi tirada a média dos valores atualizados, e esta corrigida mais uma vez, agora pelo( PIB, parâmetro utilizado para elaboração do PLDO do Congresso Nacional </t>
    </r>
    <r>
      <rPr>
        <b/>
        <sz val="5"/>
        <rFont val="Arial"/>
        <family val="2"/>
      </rPr>
      <t>Tabela 01</t>
    </r>
    <r>
      <rPr>
        <sz val="5"/>
        <rFont val="Arial"/>
        <family val="2"/>
      </rPr>
      <t>. Atualização da média dos valores dos três últimos anos para 2015, por índice negativo do PIB, ou seja, -0,90% (zero vírgula noventa por cento) ,trazendo ao valor de junho de 2015.e os valores das projeções para os exercícios de 2016, 2017 e 2018, também pelo PIB, para evitar previsões muito otimistas, em razão da crise econômica enfrentada pela União, Estados e Municípios),   As receitas referentes a : Transferências do Salário Educação, Recursos do SUS (União), Transferências FNAS, Transferências FNDE, Recursos do SUS (Estado), Transferências do FUNDEB, Convênios Programas da Educação e Assistência Social na coluna correspondente ao PROJETADO PARA 2016 foram utilizados valores com base nas receitas recebidas no exercício em curso (2015) para que as projeções para os dois exercícios posteriores sejam ainda mais próximas da realidade do Município, estes dados tiveram como base as informações passadas pelos Secretários da Educação, Saúde e Assistência Social.</t>
    </r>
  </si>
  <si>
    <t>PROJETADO  Indice: IGPM</t>
  </si>
  <si>
    <t>EXERCÍCIOS POSTERIORES Índice: IGPM</t>
  </si>
  <si>
    <t xml:space="preserve"> CRESC. VEGET. FOLHA SALARIAL DO PODER EXECUTIVO </t>
  </si>
  <si>
    <t>ÍNDICE ATUALIZAÇÃO EMPRÉSTIMO (FINANCIAMENTO BADESUL) Taxa SELIC</t>
  </si>
  <si>
    <t xml:space="preserve">NOTA: O Valor da amortização da dívida e os juros da dívida  com  o BADESUL contraída em 2014, estão sendo considerados proporcionalmente ao número de parcelas, e foram extraído da Tabela: Cronograma Financeiro da Operação, anexo ao Contrato realizado entre o Município e o BADESUL). O valor total do empréstimo é de R$ 681.000,00, a ser pago em 48 meses, portanto, parcelas mensais de R$ 14.187,50.  Os juros e encargos da dívida estão calculados de acordo com a cláusula sétima, parágrafo único do contrato, sendo a taxa de 4% ao ano acrescidos da taxa de SELIC. </t>
  </si>
  <si>
    <t xml:space="preserve"> Dívida do BADESUL  distribuída em 48 meses. 12 meses para  exercício de 2016.  R$ 681.000,00 / 48 = R$ 14.187,50 x 12 </t>
  </si>
  <si>
    <t>A   = (Coluna H + pA1 +pA4 + pA8)</t>
  </si>
  <si>
    <t>A   = (Coluna H + PA1  + PA8 + PA11)</t>
  </si>
  <si>
    <t xml:space="preserve">VALOR ATUALIZADO ATÉ JUNHO 2015                   Índice:  IPCA                 Jan a Jun 2015           </t>
  </si>
  <si>
    <t>Percentual da TAB Parâmetros Linha 9 sobre a Receita Corrente + o Valor Receitas de Capital   (ítem: 87 da TAB. I )</t>
  </si>
  <si>
    <t>Média atualizada + TAB.PARÂM.                              (Linhas: 1 e 5)</t>
  </si>
  <si>
    <t xml:space="preserve"> ÍTEM 9  / 12  x 48 x 4% a.ano x período restante + TAB de Parâmetros  A12) /  Nº anos .</t>
  </si>
  <si>
    <t>EXECUTADA ATÉ JUNHO 2015</t>
  </si>
  <si>
    <t>Até JUN/2015</t>
  </si>
  <si>
    <t>REALIZADA ATÉ JUNHO/2015</t>
  </si>
  <si>
    <t>INVESTIMENTOS (Capacidade p/ Investir projetada sobre  Rec.Corrente)</t>
  </si>
  <si>
    <r>
      <t xml:space="preserve"> PROJEÇÃO DA INFLAÇÃO MÉDIA ANUAL </t>
    </r>
    <r>
      <rPr>
        <b/>
        <sz val="8"/>
        <color indexed="30"/>
        <rFont val="Helv"/>
        <family val="0"/>
      </rPr>
      <t>(I P C A)</t>
    </r>
    <r>
      <rPr>
        <sz val="8"/>
        <color indexed="30"/>
        <rFont val="Helv"/>
        <family val="0"/>
      </rPr>
      <t xml:space="preserve"> ( ÍNDICE:  BANCO CENTRAL DO BRASIL )</t>
    </r>
  </si>
  <si>
    <r>
      <t xml:space="preserve">INFLAÇÃO ANUAL  (ÍNDICE USADO PARA ATUALIZAR OS VALORES DO EXERCÍCIO DE 2015)  para 2016                                                                                                      </t>
    </r>
    <r>
      <rPr>
        <b/>
        <sz val="8"/>
        <color indexed="30"/>
        <rFont val="Helv"/>
        <family val="0"/>
      </rPr>
      <t>(IGPM</t>
    </r>
    <r>
      <rPr>
        <sz val="8"/>
        <color indexed="30"/>
        <rFont val="Helv"/>
        <family val="0"/>
      </rPr>
      <t xml:space="preserve"> acumulado do Exercício de 2015) e Projeção Inflação</t>
    </r>
  </si>
  <si>
    <r>
      <t>AVALIAÇÃO:</t>
    </r>
    <r>
      <rPr>
        <sz val="7"/>
        <rFont val="Arial"/>
        <family val="2"/>
      </rPr>
      <t xml:space="preserve"> Como podemos observar no quadro logo acima, o Município de Poço das Antas não possui Fundo de Previdência Próprio para seus servidores e nem  mantém outro fundo público ou programa estatal de natureza atuarial.  O Fundo de Previdência Próprio (RPPS) foi extinto pela Lei Municipal nº. 621 de 12/08/1999. Atualmente, todos os servidores estão vinculados e contribuem para o Regime Geral de Previdência - INSS, com exceção dos servidores que pertencem ao quadro efetivo do Estado e contribuem para o IPÊ.  No entanto, existe uma reserva de valor, relativa a parcelas descontadas da Folha de Pagamento dos servidores naquele período </t>
    </r>
    <r>
      <rPr>
        <sz val="7"/>
        <color indexed="10"/>
        <rFont val="Arial"/>
        <family val="2"/>
      </rPr>
      <t xml:space="preserve"> </t>
    </r>
    <r>
      <rPr>
        <sz val="7"/>
        <rFont val="Arial"/>
        <family val="2"/>
      </rPr>
      <t xml:space="preserve">que estão depositados em conta bancária específica do Banco do Brasil, e, para o Orçamento do Exercício de 2016, este valor deverá ser constituído como reserva para eventuais contingências, vinculadas ao extinto RPPS. </t>
    </r>
  </si>
  <si>
    <t>Alienação de Bens Móveis  do Exercício.</t>
  </si>
  <si>
    <t>SALDO FINANCEIRO ---&gt;</t>
  </si>
  <si>
    <t xml:space="preserve">IMPORTANTE:  Em 2011 foi realizado leilão de bens e os valores referentes a arrecadação e não foram utilizados, restando o saldo para ser aplicado no próximo exercício. Em 2012, houve arrecadação da alienação de bens, onde parte dos valores foram aplicados dentro do mesmo exercício.Em 2013, não houve arrecadação de receita de alienação de bens, porém, foi utilizado o saldo de alienações existente, zerando os valores correspondentes ao mesmo. Para o atual exercício existe a previsão para alienações, mas até junho de 2015 não foi realizado leilão.  Como todos os anos, novos bens são somados a lista de inservíveis, projetamos uma alienação de bens, para o exercício de 2016. Para os exercícios de 2017 e 2018 não foram programadas receitas de alienações, porém caso haja necessidade, o poder executivo irá providenciar um projeto de lei para a criação de rubricas orçamentárias específicas  vinculadas a aplicação dos recursos provenientes do leilão, com o destino na forma da lei.   </t>
  </si>
  <si>
    <t>NESTA COLUNA</t>
  </si>
  <si>
    <t>SOMENTE SALDO</t>
  </si>
  <si>
    <t>I                                                                                                                         V</t>
  </si>
  <si>
    <r>
      <t>AVALIAÇÃO</t>
    </r>
    <r>
      <rPr>
        <sz val="7"/>
        <rFont val="Arial"/>
        <family val="2"/>
      </rPr>
      <t xml:space="preserve">:  Na análise da evolução do Patrimônio Líquido dos exercícios de 2011 a 2014, podemos destacar que houve um aumento de 2011 para 2012 numa proporção de 15,37%. É possível observar que o Ativo Real teve um crescimento, e, mesmo que tenha ocorrido também um aumento do Passivo Real, numa proporção maior que o Ativo Real, o saldo foi positivo. Para o exercício de 2013, já constatamos uma redução do Patrimônio Líquido em relação ao exercício de 2012, que numa análise inversa ao exercício anterior, mesmo que tenha ocorrido uma redução do Ativo, e uma redução proporcionalmente muito maior do Passivo, gerou uma redução do Patrimônio Líquido em 2,91%. Porém em 2014, no último exercício analisado, novamente constatamos um aumento do Ativo numa proporção bem maior que o aumento do Passivo,  apontando um crescimento de 23,37%, mostrando assim uma situação econômica positiva do Município, fato que se dá em razão. </t>
    </r>
  </si>
  <si>
    <t>IPCA                                Jan a Jun 2015</t>
  </si>
  <si>
    <t>Dív. Cons. Líqu. Exerc. Anterior  (AQUI)--&gt;</t>
  </si>
  <si>
    <t>NOTA 1: A dívida contratada com o BADESUL em 2014,  até junho de 2015, não foi efetivada. E para os exercícios de 2016, 2017 e 2018 programou-se apenas o pagamento das parcelas do emprestimo contraído e que deve se realizar ainda até o final do exercício de 2015.</t>
  </si>
  <si>
    <t xml:space="preserve">NOTA 2: Como ativo disponível está sendo considerado o valor destinado para reserva de contingencias, onde está incluída a receita prevista como rendimento de aplicação financeira do RPPS(que não deverá ser utilizada no exercício), somado ao valor da diferença de programação entre receita e despesa do anexo comparativo da receita e despesa. </t>
  </si>
  <si>
    <t>NOTA 3: Para programação dos haveres, Depósitos e Passivo Circulante, estão sendo considerados valores estimados nos índices médios dos valores realizados em relação as disponibilidades dos 3 exercícios (2012, 2013 e 2014).</t>
  </si>
  <si>
    <t>NOTA 5: Para programação da Díbida Mobiliária consideramos o valor  total do empréstimo, menos o valor pago como amortização no exercícip (EX: 681.000,00 - Lina 9 (Amortização da Dívida) do Anexo de Metas Fiscais + Linha 4 (dos Juros e Enacrgos da Dívida)</t>
  </si>
  <si>
    <t xml:space="preserve">DIFERENÇA ENTRE A REC. TOTAL E DESP. TOTAL PROGRAMADAS -----&gt;  </t>
  </si>
  <si>
    <t>BASE DE CÁLCULO</t>
  </si>
  <si>
    <t xml:space="preserve">NOTA IMPORTANTE:   O Município de Poço das Antas não tem um Programa para renúncia de receitas. Existe porém um comprometimento com a devolução de valores, em moeda corrente nacional, oriundos da arrecadação do ICMS, para os exercício de 2016, 2017, 2018 e seguintes, através de um  programa de incentivo fiscal para a instalação de empresa de grande porte no Município (frigorífico de suínos da Languirú).  Um investimento que já repercutiu positivamente e gerou um crescimento na economia em geral do Município, principalmente no setor primário.      </t>
  </si>
  <si>
    <t xml:space="preserve">  *  O crescimento da receita do ICMS decorrente do investimento frigorífico (Impostos gerados pela indústria ),  está sendo considerado nas projeções dos três exercícios,  porém o incentivo fiscal da devolução de 100% do valor contribuído, mensurável e computável como recurso livre para o Município não está sendo considerado no quadro por não se tratar de uma renúncia de receita e sim uma despesa orçamentária de subvenção econômica.</t>
  </si>
  <si>
    <t>NOTA: Foram considerados como aumento permanente da receita o índice de crescimento médio das transferências do ICMS, exposto na Tabela de Parâmetros, em razão da projeção do aumento do valor adicionado do ICMS gerado pelo Frigorífico de Suínos. Para as novas DOCC foram considerados os valores previstos como aumento vegetativo da folha (Tabela de Parâmetros), bem como, 60% do valor adicionado gerado pelo Frigorífico de Suínos no período, que correspondem aos recursos livres concedidos como incentivo fiscal.</t>
  </si>
  <si>
    <t xml:space="preserve"> Avaliação  dos Passivos Contingentes e outros Riscos que podem afetar as contas públicas no Exercício de 2016 e dois Seguintes     (Art.13, inciso X da LDO para 2016)                                                          </t>
  </si>
  <si>
    <t>METAS PARA 2016</t>
  </si>
  <si>
    <t xml:space="preserve">Executar todas as tarefas para promover a Cultura e a realização de eventos </t>
  </si>
  <si>
    <t>Contratar uma empresa para fazer a construção do prédio da nova escola de ensino fundamental.</t>
  </si>
  <si>
    <t>Adquirir um caminhão.</t>
  </si>
  <si>
    <t>Conceder auxílio financeiro e/ou outros para produtores de aves, suínos, gado, salas de ordenha e agroindústrias de acordo com a Lei Municipal.</t>
  </si>
  <si>
    <t>Conceder auxílio financeiro e/ou outros para produtores de flores, frutas, lenha e carvão vegetal</t>
  </si>
  <si>
    <t>Caminão adquirido.</t>
  </si>
  <si>
    <t>Aquisição de um ônibus Rural</t>
  </si>
  <si>
    <t xml:space="preserve">Passeios/pistas de caminhada e calçadas construídas:                                                                                                                                                                                                                                                                                                                                                                                                                                                                                                                                                                                          1) -Construção de passeio/pista de caminhada ao longo da RST 419 a partir da Avenida Independência passando em frente ao frigorífico de suínos da Languirú até a divisa com o Município de Teutônia;                                                                                                                                                                                                                                                                                                                              </t>
  </si>
  <si>
    <t>( - ) Restos à Pagar</t>
  </si>
  <si>
    <t xml:space="preserve">Haveres Financeiros </t>
  </si>
  <si>
    <t xml:space="preserve">NOTA 4: Para programação do RESULTADO NOMINAL na Fórmula para o exercício 2016, foi considerado o saldo inicial zero "nulo". </t>
  </si>
  <si>
    <t xml:space="preserve">Ruas pavimentadas em PVS e/ou asfaltadas:                                                                                                                                                                                                                        1) - Rua Aloisio Krindges                                                                                                                                                                                                                                                       2) - Rua Edmundo Fritzen                                                                                                                                                                                                                                                      3) - Rua Carlos Petry;                                                                                                                                                                                                                                                                                                                                                                                                                                                                                                                                                                                                                                                                             </t>
  </si>
  <si>
    <t>NOTA 1: O valor do incentivo para o frigorífico de suínos da Languirú está calculado sobre o valor estimado para receita do ICMS do exercício de 2016, vezes 60% (sessenta por cento) que correspondem aos recursos LIVRES, vezes 34,530353% deste resultado que corresponde ao índice de participação da empresa no valor adicionado do Município. O incentivopara 2016, num percentual de 100% (cem por cento) conforme Lei Municipal nº. 1295 DE 09/09/2009. (OBS: índice provisório do ICMS divulgado no Diário Oficial do Estado-DOE no dia 11 de agosto de 2015.</t>
  </si>
  <si>
    <t xml:space="preserve">Ruas pavimentadas e estacionamentos construídos:                                                                                                                                                                                                                                                                                                                                                                                                                                                        4) -Asfalto do final do perímetro urbano da Rua Édio Lourenço Dilli até a ponte de acesso a Sociedade União ( 1710m comprimento x 10m largura).; (PARTE do perímetro Urbano).                                                                                                          </t>
  </si>
  <si>
    <t xml:space="preserve">FONTE: Sites Oficiais de Índices Financeiros e PLDO/2016 da União. </t>
  </si>
  <si>
    <t xml:space="preserve"> O crescimento da Folha está em razão dos direitos a insalubridade e novas contratações do concurso público.</t>
  </si>
  <si>
    <t xml:space="preserve">METODOLOGIA UTILIZADA para o ítem  (imediatamente anterior)  VI </t>
  </si>
</sst>
</file>

<file path=xl/styles.xml><?xml version="1.0" encoding="utf-8"?>
<styleSheet xmlns="http://schemas.openxmlformats.org/spreadsheetml/2006/main">
  <numFmts count="6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_(&quot;R$&quot;* #,##0_);_(&quot;R$&quot;* \(#,##0\);_(&quot;R$&quot;* &quot;-&quot;_);_(@_)"/>
    <numFmt numFmtId="173" formatCode="_(&quot;R$&quot;* #,##0.00_);_(&quot;R$&quot;* \(#,##0.00\);_(&quot;R$&quot;* &quot;-&quot;??_);_(@_)"/>
    <numFmt numFmtId="174" formatCode="_(* #,##0_);_(* \(#,##0\);_(* &quot;-&quot;??_);_(@_)"/>
    <numFmt numFmtId="175" formatCode="0.0%"/>
    <numFmt numFmtId="176" formatCode="_(* #,##0.000_);_(* \(#,##0.000\);_(* &quot;-&quot;??_);_(@_)"/>
    <numFmt numFmtId="177" formatCode="_(* #,##0.0000_);_(* \(#,##0.0000\);_(* &quot;-&quot;??_);_(@_)"/>
    <numFmt numFmtId="178" formatCode="0.0000"/>
    <numFmt numFmtId="179" formatCode="_(* #,##0.00000000_);_(* \(#,##0.00000000\);_(* &quot;-&quot;??_);_(@_)"/>
    <numFmt numFmtId="180" formatCode="0.0000%"/>
    <numFmt numFmtId="181" formatCode="0.0000000%"/>
    <numFmt numFmtId="182" formatCode="0.000000000%"/>
    <numFmt numFmtId="183" formatCode="_(* #,##0.0000000000000_);_(* \(#,##0.0000000000000\);_(* &quot;-&quot;??_);_(@_)"/>
    <numFmt numFmtId="184" formatCode="_(* #,##0.00000_);_(* \(#,##0.00000\);_(* &quot;-&quot;??_);_(@_)"/>
    <numFmt numFmtId="185" formatCode="_(* #,##0.000000_);_(* \(#,##0.000000\);_(* &quot;-&quot;??_);_(@_)"/>
    <numFmt numFmtId="186" formatCode="_(* #,##0.0000000_);_(* \(#,##0.0000000\);_(* &quot;-&quot;??_);_(@_)"/>
    <numFmt numFmtId="187" formatCode="_(* #,##0.000000000_);_(* \(#,##0.000000000\);_(* &quot;-&quot;??_);_(@_)"/>
    <numFmt numFmtId="188" formatCode="_(* #,##0.0000000000_);_(* \(#,##0.0000000000\);_(* &quot;-&quot;??_);_(@_)"/>
    <numFmt numFmtId="189" formatCode="_(* #,##0.00000000000_);_(* \(#,##0.00000000000\);_(* &quot;-&quot;??_);_(@_)"/>
    <numFmt numFmtId="190" formatCode="_(* #,##0.000000000000_);_(* \(#,##0.000000000000\);_(* &quot;-&quot;??_);_(@_)"/>
    <numFmt numFmtId="191" formatCode="0.0000000000%"/>
    <numFmt numFmtId="192" formatCode="0.000%"/>
    <numFmt numFmtId="193" formatCode="0.00000%"/>
    <numFmt numFmtId="194" formatCode="0.000000%"/>
    <numFmt numFmtId="195" formatCode="0.00000000%"/>
    <numFmt numFmtId="196" formatCode="0.00000000000%"/>
    <numFmt numFmtId="197" formatCode="_(* #,##0.00000000000_);_(* \(#,##0.00000000000\);_(* &quot;-&quot;???????????_);_(@_)"/>
    <numFmt numFmtId="198" formatCode="_(* #,##0.00000000000000_);_(* \(#,##0.00000000000000\);_(* &quot;-&quot;??_);_(@_)"/>
    <numFmt numFmtId="199" formatCode="_(* #,##0.0000_);_(* \(#,##0.0000\);_(* &quot;-&quot;????_);_(@_)"/>
    <numFmt numFmtId="200" formatCode="_(* #,##0.000_);_(* \(#,##0.000\);_(* &quot;-&quot;???_);_(@_)"/>
    <numFmt numFmtId="201" formatCode="_(* #,##0.00000_);_(* \(#,##0.00000\);_(* &quot;-&quot;????_);_(@_)"/>
    <numFmt numFmtId="202" formatCode="_(* #,##0.000000_);_(* \(#,##0.000000\);_(* &quot;-&quot;????_);_(@_)"/>
    <numFmt numFmtId="203" formatCode="_(* #,##0.000_);_(* \(#,##0.000\);_(* &quot;-&quot;????_);_(@_)"/>
    <numFmt numFmtId="204" formatCode="_(* #,##0.00_);_(* \(#,##0.00\);_(* &quot;-&quot;????_);_(@_)"/>
    <numFmt numFmtId="205" formatCode="0.000"/>
    <numFmt numFmtId="206" formatCode="0.0"/>
    <numFmt numFmtId="207" formatCode="0.00000"/>
    <numFmt numFmtId="208" formatCode="_(* #,##0.00000_);_(* \(#,##0.00000\);_(* &quot;-&quot;?????_);_(@_)"/>
    <numFmt numFmtId="209" formatCode="0.0000000000"/>
    <numFmt numFmtId="210" formatCode="0.00000000000"/>
    <numFmt numFmtId="211" formatCode="0.000000000"/>
    <numFmt numFmtId="212" formatCode="0.00000000"/>
    <numFmt numFmtId="213" formatCode="0.0000000"/>
    <numFmt numFmtId="214" formatCode="0.000000"/>
    <numFmt numFmtId="215" formatCode="&quot;Sim&quot;;&quot;Sim&quot;;&quot;Não&quot;"/>
    <numFmt numFmtId="216" formatCode="&quot;Verdadeiro&quot;;&quot;Verdadeiro&quot;;&quot;Falso&quot;"/>
    <numFmt numFmtId="217" formatCode="&quot;Ativar&quot;;&quot;Ativar&quot;;&quot;Desativar&quot;"/>
    <numFmt numFmtId="218" formatCode="[$€-2]\ #,##0.00_);[Red]\([$€-2]\ #,##0.00\)"/>
    <numFmt numFmtId="219" formatCode="_(* #,##0.0_);_(* \(#,##0.0\);_(* &quot;-&quot;??_);_(@_)"/>
    <numFmt numFmtId="220" formatCode="_-* #,##0.0000_-;\-* #,##0.0000_-;_-* &quot;-&quot;????_-;_-@_-"/>
    <numFmt numFmtId="221" formatCode="#,##0_ ;[Red]\-#,##0\ "/>
    <numFmt numFmtId="222" formatCode="#,##0.0"/>
  </numFmts>
  <fonts count="161">
    <font>
      <sz val="10"/>
      <name val="Arial"/>
      <family val="0"/>
    </font>
    <font>
      <sz val="11"/>
      <name val="Verdana"/>
      <family val="2"/>
    </font>
    <font>
      <u val="single"/>
      <sz val="10"/>
      <color indexed="12"/>
      <name val="Arial"/>
      <family val="2"/>
    </font>
    <font>
      <u val="single"/>
      <sz val="10"/>
      <color indexed="36"/>
      <name val="Arial"/>
      <family val="2"/>
    </font>
    <font>
      <b/>
      <sz val="11"/>
      <color indexed="63"/>
      <name val="Verdana"/>
      <family val="2"/>
    </font>
    <font>
      <b/>
      <sz val="11"/>
      <name val="Verdana"/>
      <family val="2"/>
    </font>
    <font>
      <b/>
      <vertAlign val="superscript"/>
      <sz val="11"/>
      <color indexed="63"/>
      <name val="Verdana"/>
      <family val="2"/>
    </font>
    <font>
      <sz val="11"/>
      <color indexed="8"/>
      <name val="Verdana"/>
      <family val="2"/>
    </font>
    <font>
      <b/>
      <sz val="10"/>
      <name val="Verdana"/>
      <family val="2"/>
    </font>
    <font>
      <sz val="10"/>
      <name val="Verdana"/>
      <family val="2"/>
    </font>
    <font>
      <b/>
      <sz val="10"/>
      <color indexed="9"/>
      <name val="Verdana"/>
      <family val="2"/>
    </font>
    <font>
      <b/>
      <sz val="10"/>
      <name val="Arial"/>
      <family val="2"/>
    </font>
    <font>
      <b/>
      <sz val="10"/>
      <color indexed="10"/>
      <name val="Arial"/>
      <family val="2"/>
    </font>
    <font>
      <sz val="10"/>
      <color indexed="10"/>
      <name val="Arial"/>
      <family val="2"/>
    </font>
    <font>
      <sz val="8"/>
      <color indexed="8"/>
      <name val="Arial"/>
      <family val="2"/>
    </font>
    <font>
      <sz val="12"/>
      <name val="Arial"/>
      <family val="2"/>
    </font>
    <font>
      <b/>
      <sz val="10"/>
      <name val="Helv"/>
      <family val="0"/>
    </font>
    <font>
      <b/>
      <sz val="8"/>
      <color indexed="8"/>
      <name val="Arial"/>
      <family val="2"/>
    </font>
    <font>
      <sz val="9"/>
      <name val="Arial"/>
      <family val="2"/>
    </font>
    <font>
      <sz val="8"/>
      <name val="Arial"/>
      <family val="2"/>
    </font>
    <font>
      <b/>
      <sz val="12"/>
      <name val="Arial"/>
      <family val="2"/>
    </font>
    <font>
      <b/>
      <sz val="12"/>
      <color indexed="10"/>
      <name val="Arial"/>
      <family val="2"/>
    </font>
    <font>
      <b/>
      <sz val="8"/>
      <name val="Arial"/>
      <family val="2"/>
    </font>
    <font>
      <b/>
      <sz val="8"/>
      <color indexed="10"/>
      <name val="Arial"/>
      <family val="2"/>
    </font>
    <font>
      <b/>
      <sz val="7"/>
      <color indexed="8"/>
      <name val="Arial"/>
      <family val="2"/>
    </font>
    <font>
      <sz val="7"/>
      <color indexed="8"/>
      <name val="Arial"/>
      <family val="2"/>
    </font>
    <font>
      <sz val="7"/>
      <color indexed="12"/>
      <name val="Arial"/>
      <family val="2"/>
    </font>
    <font>
      <sz val="8"/>
      <color indexed="10"/>
      <name val="Arial"/>
      <family val="2"/>
    </font>
    <font>
      <sz val="7"/>
      <color indexed="10"/>
      <name val="Arial"/>
      <family val="2"/>
    </font>
    <font>
      <b/>
      <sz val="7"/>
      <name val="Arial"/>
      <family val="2"/>
    </font>
    <font>
      <sz val="7"/>
      <name val="Arial"/>
      <family val="2"/>
    </font>
    <font>
      <b/>
      <sz val="9"/>
      <name val="Arial"/>
      <family val="2"/>
    </font>
    <font>
      <b/>
      <sz val="12"/>
      <name val="Bodoni MT Black"/>
      <family val="1"/>
    </font>
    <font>
      <b/>
      <sz val="8"/>
      <name val="Book Antiqua"/>
      <family val="1"/>
    </font>
    <font>
      <b/>
      <sz val="6"/>
      <name val="Arial"/>
      <family val="2"/>
    </font>
    <font>
      <b/>
      <sz val="10"/>
      <name val="Bookman Old Style"/>
      <family val="1"/>
    </font>
    <font>
      <sz val="6"/>
      <name val="Arial"/>
      <family val="2"/>
    </font>
    <font>
      <b/>
      <sz val="6"/>
      <color indexed="8"/>
      <name val="Arial"/>
      <family val="2"/>
    </font>
    <font>
      <b/>
      <sz val="9"/>
      <name val="Bookman Old Style"/>
      <family val="1"/>
    </font>
    <font>
      <b/>
      <sz val="9"/>
      <name val="Arial Black"/>
      <family val="2"/>
    </font>
    <font>
      <b/>
      <sz val="9"/>
      <name val="Book Antiqua"/>
      <family val="1"/>
    </font>
    <font>
      <sz val="6"/>
      <color indexed="8"/>
      <name val="Arial"/>
      <family val="2"/>
    </font>
    <font>
      <sz val="6"/>
      <color indexed="10"/>
      <name val="Arial"/>
      <family val="2"/>
    </font>
    <font>
      <b/>
      <sz val="6"/>
      <color indexed="10"/>
      <name val="Arial"/>
      <family val="2"/>
    </font>
    <font>
      <b/>
      <sz val="12"/>
      <name val="Book Antiqua"/>
      <family val="1"/>
    </font>
    <font>
      <b/>
      <sz val="12"/>
      <name val="Arial Black"/>
      <family val="2"/>
    </font>
    <font>
      <b/>
      <sz val="14"/>
      <name val="Bodoni MT Black"/>
      <family val="1"/>
    </font>
    <font>
      <sz val="12"/>
      <color indexed="10"/>
      <name val="Arial"/>
      <family val="2"/>
    </font>
    <font>
      <b/>
      <u val="single"/>
      <sz val="7"/>
      <name val="Arial"/>
      <family val="2"/>
    </font>
    <font>
      <sz val="12"/>
      <color indexed="17"/>
      <name val="Arial"/>
      <family val="2"/>
    </font>
    <font>
      <sz val="8"/>
      <name val="Helv"/>
      <family val="0"/>
    </font>
    <font>
      <sz val="5"/>
      <color indexed="8"/>
      <name val="Arial"/>
      <family val="2"/>
    </font>
    <font>
      <sz val="9"/>
      <name val="Arial Black"/>
      <family val="2"/>
    </font>
    <font>
      <b/>
      <sz val="9"/>
      <name val="Arial Unicode MS"/>
      <family val="2"/>
    </font>
    <font>
      <b/>
      <sz val="8"/>
      <name val="Arial Unicode MS"/>
      <family val="2"/>
    </font>
    <font>
      <sz val="8"/>
      <name val="Bodoni MT Black"/>
      <family val="1"/>
    </font>
    <font>
      <b/>
      <sz val="8"/>
      <name val="Bodoni MT Black"/>
      <family val="1"/>
    </font>
    <font>
      <b/>
      <sz val="8"/>
      <name val="Bookman Old Style"/>
      <family val="1"/>
    </font>
    <font>
      <b/>
      <sz val="8"/>
      <name val="Arial Black"/>
      <family val="2"/>
    </font>
    <font>
      <b/>
      <sz val="10"/>
      <name val="Bodoni MT Black"/>
      <family val="1"/>
    </font>
    <font>
      <sz val="14"/>
      <name val="Arial"/>
      <family val="2"/>
    </font>
    <font>
      <b/>
      <sz val="9"/>
      <name val="Bodoni MT Black"/>
      <family val="1"/>
    </font>
    <font>
      <sz val="9"/>
      <name val="Bookman Old Style"/>
      <family val="1"/>
    </font>
    <font>
      <sz val="9"/>
      <name val="Book Antiqua"/>
      <family val="1"/>
    </font>
    <font>
      <sz val="10"/>
      <name val="Arial Rounded MT Bold"/>
      <family val="2"/>
    </font>
    <font>
      <b/>
      <sz val="10"/>
      <name val="Baskerville Old Face"/>
      <family val="1"/>
    </font>
    <font>
      <sz val="9"/>
      <name val="Arial Rounded MT Bold"/>
      <family val="2"/>
    </font>
    <font>
      <sz val="10"/>
      <name val="Bodoni MT Black"/>
      <family val="1"/>
    </font>
    <font>
      <sz val="10"/>
      <name val="Bookman Old Style"/>
      <family val="1"/>
    </font>
    <font>
      <sz val="10"/>
      <name val="Book Antiqua"/>
      <family val="1"/>
    </font>
    <font>
      <sz val="8"/>
      <name val="Tahoma"/>
      <family val="2"/>
    </font>
    <font>
      <b/>
      <sz val="8"/>
      <name val="Tahoma"/>
      <family val="2"/>
    </font>
    <font>
      <sz val="8"/>
      <name val="Arial Black"/>
      <family val="2"/>
    </font>
    <font>
      <sz val="12"/>
      <color indexed="11"/>
      <name val="Times New Roman"/>
      <family val="1"/>
    </font>
    <font>
      <b/>
      <sz val="10"/>
      <name val="Calibri"/>
      <family val="2"/>
    </font>
    <font>
      <b/>
      <sz val="8"/>
      <name val="Calibri"/>
      <family val="2"/>
    </font>
    <font>
      <sz val="10"/>
      <name val="Calibri"/>
      <family val="2"/>
    </font>
    <font>
      <sz val="8"/>
      <name val="Calibri"/>
      <family val="2"/>
    </font>
    <font>
      <b/>
      <sz val="10"/>
      <color indexed="17"/>
      <name val="Calibri"/>
      <family val="2"/>
    </font>
    <font>
      <sz val="10"/>
      <color indexed="30"/>
      <name val="Arial"/>
      <family val="2"/>
    </font>
    <font>
      <b/>
      <sz val="10"/>
      <color indexed="30"/>
      <name val="Calibri"/>
      <family val="2"/>
    </font>
    <font>
      <sz val="10"/>
      <color indexed="30"/>
      <name val="Calibri"/>
      <family val="2"/>
    </font>
    <font>
      <sz val="8"/>
      <color indexed="30"/>
      <name val="Arial"/>
      <family val="2"/>
    </font>
    <font>
      <sz val="8"/>
      <color indexed="30"/>
      <name val="Calibri"/>
      <family val="2"/>
    </font>
    <font>
      <sz val="8"/>
      <color indexed="10"/>
      <name val="Calibri"/>
      <family val="2"/>
    </font>
    <font>
      <b/>
      <sz val="10"/>
      <color indexed="60"/>
      <name val="Calibri"/>
      <family val="2"/>
    </font>
    <font>
      <b/>
      <sz val="8"/>
      <color indexed="30"/>
      <name val="Arial"/>
      <family val="2"/>
    </font>
    <font>
      <b/>
      <sz val="10"/>
      <color indexed="17"/>
      <name val="Arial"/>
      <family val="2"/>
    </font>
    <font>
      <sz val="5.5"/>
      <name val="Arial"/>
      <family val="2"/>
    </font>
    <font>
      <b/>
      <sz val="5.5"/>
      <name val="Bodoni MT Black"/>
      <family val="1"/>
    </font>
    <font>
      <b/>
      <sz val="5.5"/>
      <name val="Bookman Old Style"/>
      <family val="1"/>
    </font>
    <font>
      <b/>
      <sz val="5.5"/>
      <name val="Arial Black"/>
      <family val="2"/>
    </font>
    <font>
      <b/>
      <sz val="5.5"/>
      <name val="Book Antiqua"/>
      <family val="1"/>
    </font>
    <font>
      <b/>
      <sz val="5.5"/>
      <name val="Arial"/>
      <family val="2"/>
    </font>
    <font>
      <b/>
      <sz val="5.5"/>
      <color indexed="8"/>
      <name val="Arial"/>
      <family val="2"/>
    </font>
    <font>
      <sz val="5.5"/>
      <color indexed="8"/>
      <name val="Arial"/>
      <family val="2"/>
    </font>
    <font>
      <sz val="5.5"/>
      <color indexed="12"/>
      <name val="Arial"/>
      <family val="2"/>
    </font>
    <font>
      <i/>
      <sz val="5.5"/>
      <color indexed="12"/>
      <name val="Arial"/>
      <family val="2"/>
    </font>
    <font>
      <sz val="5.5"/>
      <color indexed="10"/>
      <name val="Arial"/>
      <family val="2"/>
    </font>
    <font>
      <sz val="5.5"/>
      <color indexed="17"/>
      <name val="Arial"/>
      <family val="2"/>
    </font>
    <font>
      <i/>
      <sz val="5.5"/>
      <name val="Arial"/>
      <family val="2"/>
    </font>
    <font>
      <b/>
      <sz val="5.5"/>
      <color indexed="10"/>
      <name val="Arial"/>
      <family val="2"/>
    </font>
    <font>
      <b/>
      <sz val="7"/>
      <name val="Bodoni MT Black"/>
      <family val="1"/>
    </font>
    <font>
      <sz val="5"/>
      <name val="Arial"/>
      <family val="2"/>
    </font>
    <font>
      <sz val="6"/>
      <color indexed="9"/>
      <name val="Arial"/>
      <family val="2"/>
    </font>
    <font>
      <b/>
      <sz val="5"/>
      <name val="Arial"/>
      <family val="2"/>
    </font>
    <font>
      <b/>
      <sz val="5"/>
      <color indexed="8"/>
      <name val="Arial"/>
      <family val="2"/>
    </font>
    <font>
      <sz val="8"/>
      <color indexed="30"/>
      <name val="Helv"/>
      <family val="0"/>
    </font>
    <font>
      <b/>
      <sz val="8"/>
      <color indexed="30"/>
      <name val="Helv"/>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color indexed="10"/>
      <name val="Helv"/>
      <family val="0"/>
    </font>
    <font>
      <sz val="10"/>
      <color indexed="17"/>
      <name val="Arial"/>
      <family val="2"/>
    </font>
    <font>
      <sz val="8"/>
      <color indexed="55"/>
      <name val="Arial"/>
      <family val="2"/>
    </font>
    <font>
      <b/>
      <sz val="7"/>
      <color indexed="10"/>
      <name val="Arial"/>
      <family val="2"/>
    </font>
    <font>
      <sz val="8"/>
      <color indexed="60"/>
      <name val="Arial"/>
      <family val="2"/>
    </font>
    <font>
      <sz val="8"/>
      <color indexed="17"/>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rgb="FFFF0000"/>
      <name val="Helv"/>
      <family val="0"/>
    </font>
    <font>
      <sz val="5.5"/>
      <color rgb="FFFF0000"/>
      <name val="Arial"/>
      <family val="2"/>
    </font>
    <font>
      <sz val="10"/>
      <color rgb="FF00B050"/>
      <name val="Arial"/>
      <family val="2"/>
    </font>
    <font>
      <sz val="8"/>
      <color theme="0" tint="-0.3499799966812134"/>
      <name val="Arial"/>
      <family val="2"/>
    </font>
    <font>
      <sz val="8"/>
      <color rgb="FFFF0000"/>
      <name val="Arial"/>
      <family val="2"/>
    </font>
    <font>
      <sz val="8"/>
      <color rgb="FF0070C0"/>
      <name val="Arial"/>
      <family val="2"/>
    </font>
    <font>
      <sz val="8"/>
      <color rgb="FF0070C0"/>
      <name val="Helv"/>
      <family val="0"/>
    </font>
    <font>
      <b/>
      <sz val="5.5"/>
      <color rgb="FFFF0000"/>
      <name val="Arial"/>
      <family val="2"/>
    </font>
    <font>
      <b/>
      <sz val="8"/>
      <color rgb="FFFF0000"/>
      <name val="Arial"/>
      <family val="2"/>
    </font>
    <font>
      <b/>
      <sz val="7"/>
      <color rgb="FFFF0000"/>
      <name val="Arial"/>
      <family val="2"/>
    </font>
    <font>
      <sz val="8"/>
      <color rgb="FF00B050"/>
      <name val="Arial"/>
      <family val="2"/>
    </font>
    <font>
      <sz val="8"/>
      <color rgb="FFC00000"/>
      <name val="Arial"/>
      <family val="2"/>
    </font>
  </fonts>
  <fills count="6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13"/>
        <bgColor indexed="64"/>
      </patternFill>
    </fill>
    <fill>
      <patternFill patternType="solid">
        <fgColor indexed="12"/>
        <bgColor indexed="64"/>
      </patternFill>
    </fill>
    <fill>
      <patternFill patternType="solid">
        <fgColor indexed="41"/>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40"/>
        <bgColor indexed="64"/>
      </patternFill>
    </fill>
    <fill>
      <patternFill patternType="solid">
        <fgColor indexed="52"/>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7"/>
        <bgColor indexed="64"/>
      </patternFill>
    </fill>
    <fill>
      <patternFill patternType="solid">
        <fgColor indexed="11"/>
        <bgColor indexed="64"/>
      </patternFill>
    </fill>
    <fill>
      <patternFill patternType="solid">
        <fgColor indexed="13"/>
        <bgColor indexed="64"/>
      </patternFill>
    </fill>
    <fill>
      <patternFill patternType="solid">
        <fgColor indexed="14"/>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49"/>
        <bgColor indexed="64"/>
      </patternFill>
    </fill>
    <fill>
      <patternFill patternType="solid">
        <fgColor indexed="15"/>
        <bgColor indexed="64"/>
      </patternFill>
    </fill>
    <fill>
      <patternFill patternType="solid">
        <fgColor indexed="9"/>
        <bgColor indexed="64"/>
      </patternFill>
    </fill>
    <fill>
      <patternFill patternType="solid">
        <fgColor indexed="55"/>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D4FCF8"/>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CCFFCC"/>
        <bgColor indexed="64"/>
      </patternFill>
    </fill>
    <fill>
      <patternFill patternType="solid">
        <fgColor rgb="FF92D050"/>
        <bgColor indexed="64"/>
      </patternFill>
    </fill>
    <fill>
      <patternFill patternType="solid">
        <fgColor rgb="FFCCFF99"/>
        <bgColor indexed="64"/>
      </patternFill>
    </fill>
    <fill>
      <patternFill patternType="solid">
        <fgColor rgb="FFCCFFFF"/>
        <bgColor indexed="64"/>
      </patternFill>
    </fill>
    <fill>
      <patternFill patternType="solid">
        <fgColor theme="0" tint="-0.04997999966144562"/>
        <bgColor indexed="64"/>
      </patternFill>
    </fill>
    <fill>
      <patternFill patternType="solid">
        <fgColor rgb="FFFFC00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thin"/>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style="medium"/>
    </border>
    <border>
      <left style="medium"/>
      <right/>
      <top/>
      <bottom/>
    </border>
    <border>
      <left style="thin"/>
      <right style="medium"/>
      <top style="thin"/>
      <bottom style="thin"/>
    </border>
    <border>
      <left>
        <color indexed="63"/>
      </left>
      <right style="medium"/>
      <top>
        <color indexed="63"/>
      </top>
      <bottom>
        <color indexed="63"/>
      </bottom>
    </border>
    <border>
      <left style="thin"/>
      <right style="medium"/>
      <top style="medium"/>
      <bottom style="thin"/>
    </border>
    <border>
      <left style="thin"/>
      <right style="medium"/>
      <top style="thin"/>
      <bottom style="medium"/>
    </border>
    <border>
      <left style="thin"/>
      <right style="medium"/>
      <top style="thin"/>
      <bottom/>
    </border>
    <border>
      <left style="thin"/>
      <right style="medium"/>
      <top>
        <color indexed="63"/>
      </top>
      <bottom style="thin"/>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bottom style="thin"/>
    </border>
    <border>
      <left>
        <color indexed="63"/>
      </left>
      <right style="medium"/>
      <top/>
      <bottom style="thin"/>
    </border>
    <border>
      <left style="medium"/>
      <right/>
      <top style="thin"/>
      <bottom style="thin"/>
    </border>
    <border>
      <left/>
      <right style="medium"/>
      <top style="thin"/>
      <bottom style="thin"/>
    </border>
    <border>
      <left>
        <color indexed="63"/>
      </left>
      <right style="medium"/>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2" fillId="2" borderId="0" applyNumberFormat="0" applyBorder="0" applyAlignment="0" applyProtection="0"/>
    <xf numFmtId="0" fontId="132" fillId="3" borderId="0" applyNumberFormat="0" applyBorder="0" applyAlignment="0" applyProtection="0"/>
    <xf numFmtId="0" fontId="132" fillId="4" borderId="0" applyNumberFormat="0" applyBorder="0" applyAlignment="0" applyProtection="0"/>
    <xf numFmtId="0" fontId="132" fillId="5" borderId="0" applyNumberFormat="0" applyBorder="0" applyAlignment="0" applyProtection="0"/>
    <xf numFmtId="0" fontId="132" fillId="6" borderId="0" applyNumberFormat="0" applyBorder="0" applyAlignment="0" applyProtection="0"/>
    <xf numFmtId="0" fontId="132" fillId="7" borderId="0" applyNumberFormat="0" applyBorder="0" applyAlignment="0" applyProtection="0"/>
    <xf numFmtId="0" fontId="132" fillId="8" borderId="0" applyNumberFormat="0" applyBorder="0" applyAlignment="0" applyProtection="0"/>
    <xf numFmtId="0" fontId="132" fillId="9" borderId="0" applyNumberFormat="0" applyBorder="0" applyAlignment="0" applyProtection="0"/>
    <xf numFmtId="0" fontId="132" fillId="10" borderId="0" applyNumberFormat="0" applyBorder="0" applyAlignment="0" applyProtection="0"/>
    <xf numFmtId="0" fontId="132" fillId="11" borderId="0" applyNumberFormat="0" applyBorder="0" applyAlignment="0" applyProtection="0"/>
    <xf numFmtId="0" fontId="132" fillId="12" borderId="0" applyNumberFormat="0" applyBorder="0" applyAlignment="0" applyProtection="0"/>
    <xf numFmtId="0" fontId="132" fillId="13" borderId="0" applyNumberFormat="0" applyBorder="0" applyAlignment="0" applyProtection="0"/>
    <xf numFmtId="0" fontId="133" fillId="14" borderId="0" applyNumberFormat="0" applyBorder="0" applyAlignment="0" applyProtection="0"/>
    <xf numFmtId="0" fontId="133" fillId="15" borderId="0" applyNumberFormat="0" applyBorder="0" applyAlignment="0" applyProtection="0"/>
    <xf numFmtId="0" fontId="133" fillId="16" borderId="0" applyNumberFormat="0" applyBorder="0" applyAlignment="0" applyProtection="0"/>
    <xf numFmtId="0" fontId="133" fillId="17" borderId="0" applyNumberFormat="0" applyBorder="0" applyAlignment="0" applyProtection="0"/>
    <xf numFmtId="0" fontId="133" fillId="18" borderId="0" applyNumberFormat="0" applyBorder="0" applyAlignment="0" applyProtection="0"/>
    <xf numFmtId="0" fontId="133" fillId="19" borderId="0" applyNumberFormat="0" applyBorder="0" applyAlignment="0" applyProtection="0"/>
    <xf numFmtId="0" fontId="134" fillId="20" borderId="0" applyNumberFormat="0" applyBorder="0" applyAlignment="0" applyProtection="0"/>
    <xf numFmtId="0" fontId="135" fillId="21" borderId="1" applyNumberFormat="0" applyAlignment="0" applyProtection="0"/>
    <xf numFmtId="0" fontId="136" fillId="22" borderId="2" applyNumberFormat="0" applyAlignment="0" applyProtection="0"/>
    <xf numFmtId="0" fontId="137" fillId="0" borderId="3" applyNumberFormat="0" applyFill="0" applyAlignment="0" applyProtection="0"/>
    <xf numFmtId="0" fontId="133" fillId="23" borderId="0" applyNumberFormat="0" applyBorder="0" applyAlignment="0" applyProtection="0"/>
    <xf numFmtId="0" fontId="133" fillId="24" borderId="0" applyNumberFormat="0" applyBorder="0" applyAlignment="0" applyProtection="0"/>
    <xf numFmtId="0" fontId="133" fillId="25" borderId="0" applyNumberFormat="0" applyBorder="0" applyAlignment="0" applyProtection="0"/>
    <xf numFmtId="0" fontId="133" fillId="26" borderId="0" applyNumberFormat="0" applyBorder="0" applyAlignment="0" applyProtection="0"/>
    <xf numFmtId="0" fontId="133" fillId="27" borderId="0" applyNumberFormat="0" applyBorder="0" applyAlignment="0" applyProtection="0"/>
    <xf numFmtId="0" fontId="133" fillId="28" borderId="0" applyNumberFormat="0" applyBorder="0" applyAlignment="0" applyProtection="0"/>
    <xf numFmtId="0" fontId="138"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39" fillId="30"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140"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141" fillId="21" borderId="5" applyNumberFormat="0" applyAlignment="0" applyProtection="0"/>
    <xf numFmtId="169" fontId="0" fillId="0" borderId="0" applyFon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5" fillId="0" borderId="6" applyNumberFormat="0" applyFill="0" applyAlignment="0" applyProtection="0"/>
    <xf numFmtId="0" fontId="146" fillId="0" borderId="7" applyNumberFormat="0" applyFill="0" applyAlignment="0" applyProtection="0"/>
    <xf numFmtId="0" fontId="147" fillId="0" borderId="8" applyNumberFormat="0" applyFill="0" applyAlignment="0" applyProtection="0"/>
    <xf numFmtId="0" fontId="147" fillId="0" borderId="0" applyNumberFormat="0" applyFill="0" applyBorder="0" applyAlignment="0" applyProtection="0"/>
    <xf numFmtId="0" fontId="148" fillId="0" borderId="9" applyNumberFormat="0" applyFill="0" applyAlignment="0" applyProtection="0"/>
    <xf numFmtId="171" fontId="0" fillId="0" borderId="0" applyFont="0" applyFill="0" applyBorder="0" applyAlignment="0" applyProtection="0"/>
  </cellStyleXfs>
  <cellXfs count="1349">
    <xf numFmtId="0" fontId="0" fillId="0" borderId="0" xfId="0" applyAlignment="1">
      <alignment/>
    </xf>
    <xf numFmtId="0" fontId="5" fillId="0" borderId="10" xfId="0" applyFont="1" applyBorder="1" applyAlignment="1">
      <alignment horizontal="left" vertical="center" indent="1"/>
    </xf>
    <xf numFmtId="174" fontId="1" fillId="0" borderId="0" xfId="63" applyNumberFormat="1" applyFont="1" applyAlignment="1" applyProtection="1">
      <alignment vertical="center"/>
      <protection locked="0"/>
    </xf>
    <xf numFmtId="174" fontId="1" fillId="0" borderId="0" xfId="63" applyNumberFormat="1" applyFont="1" applyAlignment="1" applyProtection="1">
      <alignment vertical="center"/>
      <protection/>
    </xf>
    <xf numFmtId="174" fontId="5" fillId="0" borderId="10" xfId="63" applyNumberFormat="1" applyFont="1" applyBorder="1" applyAlignment="1" applyProtection="1">
      <alignment vertical="center"/>
      <protection/>
    </xf>
    <xf numFmtId="0" fontId="5" fillId="0" borderId="0" xfId="0" applyFont="1" applyAlignment="1">
      <alignment vertical="center"/>
    </xf>
    <xf numFmtId="0" fontId="1" fillId="0" borderId="0" xfId="0" applyFont="1" applyAlignment="1">
      <alignment vertical="center"/>
    </xf>
    <xf numFmtId="174" fontId="5" fillId="0" borderId="10" xfId="63" applyNumberFormat="1" applyFont="1" applyBorder="1" applyAlignment="1">
      <alignment vertical="center"/>
    </xf>
    <xf numFmtId="1" fontId="5" fillId="0" borderId="0" xfId="0" applyNumberFormat="1" applyFont="1" applyAlignment="1">
      <alignment vertical="center"/>
    </xf>
    <xf numFmtId="174" fontId="1" fillId="0" borderId="0" xfId="63" applyNumberFormat="1" applyFont="1" applyAlignment="1">
      <alignment vertical="center"/>
    </xf>
    <xf numFmtId="0" fontId="1" fillId="0" borderId="0" xfId="0" applyFont="1" applyAlignment="1">
      <alignment horizontal="left" vertical="center" indent="1"/>
    </xf>
    <xf numFmtId="174" fontId="1" fillId="0" borderId="0" xfId="63" applyNumberFormat="1" applyFont="1" applyAlignment="1">
      <alignment horizontal="right" vertical="center"/>
    </xf>
    <xf numFmtId="0" fontId="4" fillId="33" borderId="10" xfId="0" applyFont="1" applyFill="1" applyBorder="1" applyAlignment="1">
      <alignment horizontal="center" vertical="center"/>
    </xf>
    <xf numFmtId="0" fontId="5" fillId="0" borderId="10" xfId="0" applyFont="1" applyBorder="1" applyAlignment="1">
      <alignment horizontal="left" vertical="center"/>
    </xf>
    <xf numFmtId="0" fontId="5" fillId="0" borderId="10" xfId="0" applyFont="1" applyBorder="1" applyAlignment="1">
      <alignment vertical="center"/>
    </xf>
    <xf numFmtId="0" fontId="5" fillId="34" borderId="10" xfId="0" applyFont="1" applyFill="1" applyBorder="1" applyAlignment="1">
      <alignment horizontal="left" vertical="center"/>
    </xf>
    <xf numFmtId="174" fontId="5" fillId="34" borderId="10" xfId="63" applyNumberFormat="1" applyFont="1" applyFill="1" applyBorder="1" applyAlignment="1">
      <alignment vertical="center"/>
    </xf>
    <xf numFmtId="0" fontId="1" fillId="0" borderId="0" xfId="0" applyFont="1" applyBorder="1" applyAlignment="1">
      <alignment horizontal="left" vertical="center"/>
    </xf>
    <xf numFmtId="174" fontId="1" fillId="0" borderId="0" xfId="63" applyNumberFormat="1" applyFont="1" applyBorder="1" applyAlignment="1">
      <alignment horizontal="left" vertical="center"/>
    </xf>
    <xf numFmtId="174" fontId="1" fillId="0" borderId="0" xfId="63" applyNumberFormat="1" applyFont="1" applyBorder="1" applyAlignment="1">
      <alignment vertical="center"/>
    </xf>
    <xf numFmtId="0" fontId="5" fillId="0" borderId="0" xfId="0" applyFont="1" applyBorder="1" applyAlignment="1">
      <alignment horizontal="left" vertical="center"/>
    </xf>
    <xf numFmtId="175" fontId="7" fillId="0" borderId="0" xfId="0" applyNumberFormat="1" applyFont="1" applyAlignment="1" applyProtection="1">
      <alignment vertical="center"/>
      <protection locked="0"/>
    </xf>
    <xf numFmtId="0" fontId="4" fillId="33" borderId="10" xfId="0" applyFont="1" applyFill="1" applyBorder="1" applyAlignment="1">
      <alignment horizontal="left" vertical="center"/>
    </xf>
    <xf numFmtId="174" fontId="4" fillId="33" borderId="10" xfId="63" applyNumberFormat="1" applyFont="1" applyFill="1" applyBorder="1" applyAlignment="1">
      <alignment horizontal="center" vertical="center"/>
    </xf>
    <xf numFmtId="0" fontId="4" fillId="33" borderId="11" xfId="0" applyFont="1" applyFill="1" applyBorder="1" applyAlignment="1">
      <alignment horizontal="center" vertical="center"/>
    </xf>
    <xf numFmtId="174" fontId="5" fillId="0" borderId="11" xfId="63" applyNumberFormat="1" applyFont="1" applyBorder="1" applyAlignment="1" applyProtection="1">
      <alignment vertical="center"/>
      <protection/>
    </xf>
    <xf numFmtId="174" fontId="1" fillId="0" borderId="11" xfId="63" applyNumberFormat="1" applyFont="1" applyBorder="1" applyAlignment="1" applyProtection="1">
      <alignment vertical="center"/>
      <protection/>
    </xf>
    <xf numFmtId="174" fontId="4" fillId="33" borderId="10" xfId="63" applyNumberFormat="1" applyFont="1" applyFill="1" applyBorder="1" applyAlignment="1" applyProtection="1">
      <alignment horizontal="center" vertical="center"/>
      <protection/>
    </xf>
    <xf numFmtId="0" fontId="8" fillId="0" borderId="0" xfId="0" applyFont="1" applyAlignment="1">
      <alignment/>
    </xf>
    <xf numFmtId="0" fontId="9" fillId="0" borderId="0" xfId="0" applyFont="1" applyAlignment="1">
      <alignment/>
    </xf>
    <xf numFmtId="0" fontId="8" fillId="0" borderId="0" xfId="0" applyFont="1" applyAlignment="1">
      <alignment horizontal="left"/>
    </xf>
    <xf numFmtId="0" fontId="8" fillId="0" borderId="0" xfId="0" applyFont="1" applyAlignment="1">
      <alignment horizontal="center"/>
    </xf>
    <xf numFmtId="0" fontId="9" fillId="0" borderId="0" xfId="0" applyFont="1" applyAlignment="1">
      <alignment horizontal="right"/>
    </xf>
    <xf numFmtId="174" fontId="9" fillId="0" borderId="0" xfId="63" applyNumberFormat="1" applyFont="1" applyAlignment="1" applyProtection="1">
      <alignment vertical="center"/>
      <protection locked="0"/>
    </xf>
    <xf numFmtId="0" fontId="10" fillId="35" borderId="0" xfId="0" applyFont="1" applyFill="1" applyAlignment="1" applyProtection="1">
      <alignment horizontal="center" vertical="center"/>
      <protection/>
    </xf>
    <xf numFmtId="0" fontId="8" fillId="33" borderId="0" xfId="0" applyFont="1" applyFill="1" applyAlignment="1" applyProtection="1">
      <alignment vertical="center"/>
      <protection/>
    </xf>
    <xf numFmtId="174" fontId="8" fillId="33" borderId="0" xfId="63" applyNumberFormat="1" applyFont="1" applyFill="1" applyAlignment="1" applyProtection="1">
      <alignment vertical="center"/>
      <protection/>
    </xf>
    <xf numFmtId="0" fontId="8" fillId="36" borderId="12" xfId="0" applyFont="1" applyFill="1" applyBorder="1" applyAlignment="1" applyProtection="1">
      <alignment horizontal="left" vertical="center" indent="1"/>
      <protection/>
    </xf>
    <xf numFmtId="174" fontId="8" fillId="36" borderId="12" xfId="63" applyNumberFormat="1" applyFont="1" applyFill="1" applyBorder="1" applyAlignment="1" applyProtection="1">
      <alignment vertical="center"/>
      <protection/>
    </xf>
    <xf numFmtId="0" fontId="8" fillId="36" borderId="10" xfId="0" applyFont="1" applyFill="1" applyBorder="1" applyAlignment="1" applyProtection="1">
      <alignment horizontal="left" vertical="center" indent="1"/>
      <protection/>
    </xf>
    <xf numFmtId="174" fontId="8" fillId="36" borderId="10" xfId="63" applyNumberFormat="1" applyFont="1" applyFill="1" applyBorder="1" applyAlignment="1" applyProtection="1">
      <alignment vertical="center"/>
      <protection/>
    </xf>
    <xf numFmtId="0" fontId="9" fillId="0" borderId="0" xfId="0" applyFont="1" applyAlignment="1" applyProtection="1">
      <alignment horizontal="left" vertical="center" indent="2"/>
      <protection/>
    </xf>
    <xf numFmtId="174" fontId="9" fillId="0" borderId="0" xfId="63" applyNumberFormat="1" applyFont="1" applyAlignment="1" applyProtection="1">
      <alignment vertical="center"/>
      <protection/>
    </xf>
    <xf numFmtId="0" fontId="8" fillId="33" borderId="10" xfId="0" applyFont="1" applyFill="1" applyBorder="1" applyAlignment="1" applyProtection="1">
      <alignment horizontal="left" vertical="center" indent="1"/>
      <protection/>
    </xf>
    <xf numFmtId="174" fontId="8" fillId="33" borderId="10" xfId="63" applyNumberFormat="1" applyFont="1" applyFill="1" applyBorder="1" applyAlignment="1" applyProtection="1">
      <alignment vertical="center"/>
      <protection/>
    </xf>
    <xf numFmtId="0" fontId="9" fillId="0" borderId="0" xfId="0" applyFont="1" applyAlignment="1" applyProtection="1">
      <alignment horizontal="left" vertical="center" indent="3"/>
      <protection/>
    </xf>
    <xf numFmtId="0" fontId="9" fillId="0" borderId="11" xfId="0" applyFont="1" applyBorder="1" applyAlignment="1" applyProtection="1">
      <alignment horizontal="left" vertical="center" indent="2"/>
      <protection/>
    </xf>
    <xf numFmtId="174" fontId="9" fillId="0" borderId="11" xfId="63" applyNumberFormat="1" applyFont="1" applyBorder="1" applyAlignment="1" applyProtection="1">
      <alignment vertical="center"/>
      <protection/>
    </xf>
    <xf numFmtId="0" fontId="9" fillId="0" borderId="12" xfId="0" applyFont="1" applyBorder="1" applyAlignment="1" applyProtection="1">
      <alignment horizontal="left" vertical="center" indent="2"/>
      <protection/>
    </xf>
    <xf numFmtId="174" fontId="9" fillId="0" borderId="12" xfId="63" applyNumberFormat="1" applyFont="1" applyBorder="1" applyAlignment="1" applyProtection="1">
      <alignment vertical="center"/>
      <protection/>
    </xf>
    <xf numFmtId="0" fontId="11" fillId="0" borderId="0" xfId="0" applyFont="1" applyAlignment="1">
      <alignment vertical="center"/>
    </xf>
    <xf numFmtId="0" fontId="0" fillId="0" borderId="0" xfId="0" applyFont="1" applyAlignment="1">
      <alignment/>
    </xf>
    <xf numFmtId="0" fontId="0" fillId="0" borderId="0" xfId="0" applyFont="1" applyAlignment="1">
      <alignment vertical="center"/>
    </xf>
    <xf numFmtId="0" fontId="0" fillId="0" borderId="0" xfId="0" applyFont="1" applyBorder="1" applyAlignment="1">
      <alignment/>
    </xf>
    <xf numFmtId="171" fontId="19" fillId="0" borderId="0" xfId="63" applyFont="1" applyAlignment="1">
      <alignment vertical="center"/>
    </xf>
    <xf numFmtId="0" fontId="19" fillId="0" borderId="0" xfId="0" applyFont="1" applyAlignment="1">
      <alignment vertical="center"/>
    </xf>
    <xf numFmtId="0" fontId="0" fillId="0" borderId="0" xfId="0" applyFont="1" applyFill="1" applyAlignment="1">
      <alignment vertical="center"/>
    </xf>
    <xf numFmtId="0" fontId="20" fillId="0" borderId="0" xfId="0" applyFont="1" applyFill="1" applyAlignment="1">
      <alignment vertical="center"/>
    </xf>
    <xf numFmtId="0" fontId="15" fillId="0" borderId="0" xfId="0" applyFont="1" applyFill="1" applyAlignment="1">
      <alignment/>
    </xf>
    <xf numFmtId="0" fontId="22" fillId="0" borderId="0" xfId="0" applyFont="1" applyFill="1" applyAlignment="1">
      <alignment vertical="center"/>
    </xf>
    <xf numFmtId="0" fontId="19" fillId="0" borderId="0" xfId="0" applyFont="1" applyFill="1" applyAlignment="1">
      <alignment vertical="center"/>
    </xf>
    <xf numFmtId="0" fontId="0" fillId="0" borderId="0" xfId="0" applyFont="1" applyFill="1" applyAlignment="1">
      <alignment/>
    </xf>
    <xf numFmtId="0" fontId="0" fillId="0" borderId="0" xfId="0" applyFont="1" applyFill="1" applyBorder="1" applyAlignment="1">
      <alignment/>
    </xf>
    <xf numFmtId="0" fontId="14" fillId="36" borderId="13" xfId="0" applyFont="1" applyFill="1" applyBorder="1" applyAlignment="1" applyProtection="1">
      <alignment horizontal="left" vertical="center" indent="2"/>
      <protection/>
    </xf>
    <xf numFmtId="0" fontId="22" fillId="0" borderId="0" xfId="0" applyFont="1" applyAlignment="1">
      <alignment vertical="center"/>
    </xf>
    <xf numFmtId="171" fontId="19" fillId="0" borderId="0" xfId="0" applyNumberFormat="1" applyFont="1" applyFill="1" applyAlignment="1">
      <alignment vertical="center"/>
    </xf>
    <xf numFmtId="0" fontId="29" fillId="0" borderId="0" xfId="0" applyFont="1" applyAlignment="1">
      <alignment vertical="center"/>
    </xf>
    <xf numFmtId="0" fontId="30" fillId="0" borderId="0" xfId="0" applyFont="1" applyAlignment="1">
      <alignment vertical="center"/>
    </xf>
    <xf numFmtId="0" fontId="19" fillId="0" borderId="0" xfId="0" applyFont="1" applyAlignment="1">
      <alignment/>
    </xf>
    <xf numFmtId="0" fontId="19" fillId="0" borderId="0" xfId="0" applyFont="1" applyAlignment="1">
      <alignment wrapText="1"/>
    </xf>
    <xf numFmtId="171" fontId="30" fillId="0" borderId="13" xfId="63" applyFont="1" applyFill="1" applyBorder="1" applyAlignment="1">
      <alignment wrapText="1"/>
    </xf>
    <xf numFmtId="171" fontId="30" fillId="0" borderId="13" xfId="63" applyFont="1" applyBorder="1" applyAlignment="1">
      <alignment wrapText="1"/>
    </xf>
    <xf numFmtId="171" fontId="36" fillId="0" borderId="13" xfId="63" applyFont="1" applyFill="1" applyBorder="1" applyAlignment="1">
      <alignment wrapText="1"/>
    </xf>
    <xf numFmtId="171" fontId="36" fillId="0" borderId="13" xfId="63" applyFont="1" applyBorder="1" applyAlignment="1">
      <alignment wrapText="1"/>
    </xf>
    <xf numFmtId="0" fontId="19" fillId="0" borderId="0" xfId="0" applyFont="1" applyFill="1" applyAlignment="1">
      <alignment/>
    </xf>
    <xf numFmtId="171" fontId="19" fillId="0" borderId="0" xfId="63" applyFont="1" applyFill="1" applyAlignment="1">
      <alignment/>
    </xf>
    <xf numFmtId="0" fontId="34" fillId="37" borderId="13" xfId="0" applyFont="1" applyFill="1" applyBorder="1" applyAlignment="1">
      <alignment horizontal="center" vertical="center"/>
    </xf>
    <xf numFmtId="0" fontId="36" fillId="0" borderId="0" xfId="0" applyFont="1" applyFill="1" applyAlignment="1">
      <alignment/>
    </xf>
    <xf numFmtId="171" fontId="36" fillId="0" borderId="0" xfId="63" applyFont="1" applyFill="1" applyAlignment="1">
      <alignment/>
    </xf>
    <xf numFmtId="49" fontId="34" fillId="37" borderId="13" xfId="63" applyNumberFormat="1" applyFont="1" applyFill="1" applyBorder="1" applyAlignment="1">
      <alignment horizontal="center" vertical="center" wrapText="1"/>
    </xf>
    <xf numFmtId="0" fontId="36" fillId="0" borderId="0" xfId="0" applyFont="1" applyFill="1" applyAlignment="1">
      <alignment horizontal="center"/>
    </xf>
    <xf numFmtId="171" fontId="24" fillId="38" borderId="13" xfId="63" applyNumberFormat="1" applyFont="1" applyFill="1" applyBorder="1" applyAlignment="1" applyProtection="1">
      <alignment vertical="center"/>
      <protection/>
    </xf>
    <xf numFmtId="178" fontId="17" fillId="0" borderId="13" xfId="0" applyNumberFormat="1" applyFont="1" applyFill="1" applyBorder="1" applyAlignment="1" applyProtection="1">
      <alignment horizontal="center" vertical="center"/>
      <protection/>
    </xf>
    <xf numFmtId="178" fontId="17" fillId="0" borderId="14" xfId="0" applyNumberFormat="1" applyFont="1" applyFill="1" applyBorder="1" applyAlignment="1" applyProtection="1">
      <alignment horizontal="center" vertical="center" wrapText="1"/>
      <protection/>
    </xf>
    <xf numFmtId="0" fontId="37" fillId="38" borderId="13" xfId="0" applyFont="1" applyFill="1" applyBorder="1" applyAlignment="1" applyProtection="1">
      <alignment horizontal="center" vertical="center"/>
      <protection/>
    </xf>
    <xf numFmtId="171" fontId="25" fillId="36" borderId="13" xfId="63" applyNumberFormat="1" applyFont="1" applyFill="1" applyBorder="1" applyAlignment="1" applyProtection="1">
      <alignment vertical="center"/>
      <protection locked="0"/>
    </xf>
    <xf numFmtId="0" fontId="14" fillId="39" borderId="13" xfId="0" applyFont="1" applyFill="1" applyBorder="1" applyAlignment="1" applyProtection="1">
      <alignment horizontal="left" vertical="center" indent="2"/>
      <protection/>
    </xf>
    <xf numFmtId="0" fontId="37" fillId="39" borderId="13" xfId="0" applyFont="1" applyFill="1" applyBorder="1" applyAlignment="1" applyProtection="1">
      <alignment horizontal="center" vertical="center"/>
      <protection/>
    </xf>
    <xf numFmtId="171" fontId="25" fillId="39" borderId="13" xfId="63" applyNumberFormat="1" applyFont="1" applyFill="1" applyBorder="1" applyAlignment="1" applyProtection="1">
      <alignment vertical="center"/>
      <protection/>
    </xf>
    <xf numFmtId="0" fontId="37" fillId="40" borderId="13" xfId="0" applyFont="1" applyFill="1" applyBorder="1" applyAlignment="1" applyProtection="1">
      <alignment horizontal="center" vertical="center"/>
      <protection/>
    </xf>
    <xf numFmtId="171" fontId="24" fillId="40" borderId="13" xfId="63" applyNumberFormat="1" applyFont="1" applyFill="1" applyBorder="1" applyAlignment="1" applyProtection="1">
      <alignment vertical="center"/>
      <protection locked="0"/>
    </xf>
    <xf numFmtId="0" fontId="17" fillId="38" borderId="13" xfId="0" applyFont="1" applyFill="1" applyBorder="1" applyAlignment="1" applyProtection="1">
      <alignment vertical="center"/>
      <protection/>
    </xf>
    <xf numFmtId="0" fontId="19" fillId="0" borderId="13" xfId="0" applyFont="1" applyBorder="1" applyAlignment="1">
      <alignment vertical="center"/>
    </xf>
    <xf numFmtId="0" fontId="34" fillId="0" borderId="13" xfId="0" applyFont="1" applyBorder="1" applyAlignment="1">
      <alignment horizontal="center" vertical="center"/>
    </xf>
    <xf numFmtId="0" fontId="19" fillId="38" borderId="13" xfId="0" applyFont="1" applyFill="1" applyBorder="1" applyAlignment="1">
      <alignment vertical="center"/>
    </xf>
    <xf numFmtId="0" fontId="34" fillId="38" borderId="13" xfId="0" applyFont="1" applyFill="1" applyBorder="1" applyAlignment="1">
      <alignment horizontal="center" vertical="center"/>
    </xf>
    <xf numFmtId="0" fontId="30" fillId="0" borderId="13" xfId="0" applyFont="1" applyBorder="1" applyAlignment="1">
      <alignment vertical="center"/>
    </xf>
    <xf numFmtId="0" fontId="29" fillId="0" borderId="13" xfId="0" applyFont="1" applyBorder="1" applyAlignment="1">
      <alignment horizontal="center" vertical="center"/>
    </xf>
    <xf numFmtId="171" fontId="30" fillId="0" borderId="13" xfId="63" applyFont="1" applyFill="1" applyBorder="1" applyAlignment="1">
      <alignment vertical="center"/>
    </xf>
    <xf numFmtId="171" fontId="30" fillId="0" borderId="13" xfId="63" applyFont="1" applyBorder="1" applyAlignment="1">
      <alignment vertical="center"/>
    </xf>
    <xf numFmtId="0" fontId="29" fillId="38" borderId="13" xfId="0" applyFont="1" applyFill="1" applyBorder="1" applyAlignment="1">
      <alignment horizontal="center" vertical="center"/>
    </xf>
    <xf numFmtId="178" fontId="24" fillId="37" borderId="13" xfId="0" applyNumberFormat="1" applyFont="1" applyFill="1" applyBorder="1" applyAlignment="1" applyProtection="1">
      <alignment horizontal="center" vertical="center" wrapText="1"/>
      <protection/>
    </xf>
    <xf numFmtId="0" fontId="24" fillId="37" borderId="13" xfId="0" applyFont="1" applyFill="1" applyBorder="1" applyAlignment="1" applyProtection="1">
      <alignment horizontal="center" vertical="center"/>
      <protection/>
    </xf>
    <xf numFmtId="0" fontId="17" fillId="39" borderId="13" xfId="0" applyFont="1" applyFill="1" applyBorder="1" applyAlignment="1" applyProtection="1">
      <alignment vertical="center"/>
      <protection/>
    </xf>
    <xf numFmtId="171" fontId="24" fillId="39" borderId="13" xfId="63" applyNumberFormat="1" applyFont="1" applyFill="1" applyBorder="1" applyAlignment="1" applyProtection="1">
      <alignment vertical="center"/>
      <protection/>
    </xf>
    <xf numFmtId="0" fontId="29" fillId="39" borderId="13" xfId="0" applyFont="1" applyFill="1" applyBorder="1" applyAlignment="1">
      <alignment horizontal="center" vertical="center"/>
    </xf>
    <xf numFmtId="0" fontId="29" fillId="41" borderId="13" xfId="0" applyFont="1" applyFill="1" applyBorder="1" applyAlignment="1">
      <alignment vertical="center"/>
    </xf>
    <xf numFmtId="0" fontId="29" fillId="41" borderId="13" xfId="0" applyFont="1" applyFill="1" applyBorder="1" applyAlignment="1">
      <alignment horizontal="center" vertical="center"/>
    </xf>
    <xf numFmtId="178" fontId="24" fillId="37" borderId="13" xfId="0" applyNumberFormat="1" applyFont="1" applyFill="1" applyBorder="1" applyAlignment="1" applyProtection="1">
      <alignment horizontal="center" vertical="center"/>
      <protection/>
    </xf>
    <xf numFmtId="0" fontId="0" fillId="0" borderId="0" xfId="0" applyFill="1" applyAlignment="1">
      <alignment/>
    </xf>
    <xf numFmtId="0" fontId="30" fillId="36" borderId="13" xfId="0" applyFont="1" applyFill="1" applyBorder="1" applyAlignment="1">
      <alignment vertical="center"/>
    </xf>
    <xf numFmtId="0" fontId="29" fillId="36" borderId="13" xfId="0" applyFont="1" applyFill="1" applyBorder="1" applyAlignment="1">
      <alignment horizontal="center" vertical="center"/>
    </xf>
    <xf numFmtId="171" fontId="30" fillId="36" borderId="13" xfId="63" applyFont="1" applyFill="1" applyBorder="1" applyAlignment="1">
      <alignment vertical="center"/>
    </xf>
    <xf numFmtId="171" fontId="29" fillId="41" borderId="13" xfId="63" applyFont="1" applyFill="1" applyBorder="1" applyAlignment="1">
      <alignment vertical="center"/>
    </xf>
    <xf numFmtId="0" fontId="19" fillId="42" borderId="13" xfId="0" applyFont="1" applyFill="1" applyBorder="1" applyAlignment="1">
      <alignment vertical="center"/>
    </xf>
    <xf numFmtId="171" fontId="30" fillId="42" borderId="13" xfId="63" applyFont="1" applyFill="1" applyBorder="1" applyAlignment="1">
      <alignment vertical="center"/>
    </xf>
    <xf numFmtId="171" fontId="30" fillId="38" borderId="13" xfId="63" applyFont="1" applyFill="1" applyBorder="1" applyAlignment="1">
      <alignment vertical="center"/>
    </xf>
    <xf numFmtId="171" fontId="30" fillId="43" borderId="13" xfId="63" applyFont="1" applyFill="1" applyBorder="1" applyAlignment="1">
      <alignment vertical="center"/>
    </xf>
    <xf numFmtId="0" fontId="22" fillId="37" borderId="13" xfId="0" applyFont="1" applyFill="1" applyBorder="1" applyAlignment="1" applyProtection="1">
      <alignment vertical="center"/>
      <protection/>
    </xf>
    <xf numFmtId="0" fontId="34" fillId="37" borderId="13" xfId="0" applyFont="1" applyFill="1" applyBorder="1" applyAlignment="1" applyProtection="1">
      <alignment horizontal="center" vertical="center"/>
      <protection/>
    </xf>
    <xf numFmtId="171" fontId="29" fillId="37" borderId="13" xfId="63" applyNumberFormat="1" applyFont="1" applyFill="1" applyBorder="1" applyAlignment="1" applyProtection="1">
      <alignment vertical="center"/>
      <protection/>
    </xf>
    <xf numFmtId="0" fontId="36" fillId="0" borderId="13" xfId="0" applyFont="1" applyBorder="1" applyAlignment="1">
      <alignment horizontal="center" vertical="center"/>
    </xf>
    <xf numFmtId="178" fontId="17" fillId="0" borderId="13" xfId="0" applyNumberFormat="1" applyFont="1" applyFill="1" applyBorder="1" applyAlignment="1" applyProtection="1">
      <alignment horizontal="center" vertical="center" wrapText="1"/>
      <protection/>
    </xf>
    <xf numFmtId="0" fontId="0" fillId="0" borderId="0" xfId="0" applyFont="1" applyFill="1" applyBorder="1" applyAlignment="1">
      <alignment vertical="center"/>
    </xf>
    <xf numFmtId="0" fontId="26" fillId="0" borderId="0" xfId="0" applyFont="1" applyAlignment="1">
      <alignment vertical="center"/>
    </xf>
    <xf numFmtId="0" fontId="29" fillId="37" borderId="13" xfId="0" applyFont="1" applyFill="1" applyBorder="1" applyAlignment="1" applyProtection="1">
      <alignment horizontal="center" vertical="center"/>
      <protection/>
    </xf>
    <xf numFmtId="0" fontId="29" fillId="0" borderId="0" xfId="0" applyFont="1" applyAlignment="1">
      <alignment horizontal="center" vertical="center"/>
    </xf>
    <xf numFmtId="0" fontId="19" fillId="0" borderId="0" xfId="0" applyFont="1" applyFill="1" applyAlignment="1">
      <alignment wrapText="1"/>
    </xf>
    <xf numFmtId="0" fontId="36" fillId="0" borderId="13" xfId="0" applyFont="1" applyBorder="1" applyAlignment="1">
      <alignment horizontal="center" vertical="center" wrapText="1"/>
    </xf>
    <xf numFmtId="0" fontId="30" fillId="38" borderId="13" xfId="0" applyFont="1" applyFill="1" applyBorder="1" applyAlignment="1">
      <alignment vertical="center"/>
    </xf>
    <xf numFmtId="0" fontId="30" fillId="38" borderId="13" xfId="0" applyFont="1" applyFill="1" applyBorder="1" applyAlignment="1">
      <alignment horizontal="center" vertical="center"/>
    </xf>
    <xf numFmtId="0" fontId="20" fillId="0" borderId="0" xfId="0" applyFont="1" applyFill="1" applyBorder="1" applyAlignment="1">
      <alignment vertical="center"/>
    </xf>
    <xf numFmtId="0" fontId="32" fillId="0" borderId="0" xfId="0" applyFont="1" applyFill="1" applyBorder="1" applyAlignment="1">
      <alignment wrapText="1"/>
    </xf>
    <xf numFmtId="0" fontId="21" fillId="0" borderId="15" xfId="0" applyFont="1" applyBorder="1" applyAlignment="1">
      <alignment horizontal="left" wrapText="1"/>
    </xf>
    <xf numFmtId="0" fontId="21" fillId="0" borderId="13" xfId="0" applyFont="1" applyBorder="1" applyAlignment="1">
      <alignment horizontal="center" wrapText="1"/>
    </xf>
    <xf numFmtId="0" fontId="11" fillId="0" borderId="0" xfId="0" applyFont="1" applyAlignment="1">
      <alignment horizontal="center" vertical="center"/>
    </xf>
    <xf numFmtId="0" fontId="24" fillId="0" borderId="13" xfId="0" applyFont="1" applyFill="1" applyBorder="1" applyAlignment="1" applyProtection="1">
      <alignment horizontal="center" vertical="center"/>
      <protection/>
    </xf>
    <xf numFmtId="0" fontId="34" fillId="0" borderId="13" xfId="0" applyFont="1" applyFill="1" applyBorder="1" applyAlignment="1">
      <alignment horizontal="center" vertical="center"/>
    </xf>
    <xf numFmtId="0" fontId="22" fillId="0" borderId="0" xfId="0" applyFont="1" applyFill="1" applyAlignment="1">
      <alignment horizontal="center"/>
    </xf>
    <xf numFmtId="0" fontId="30" fillId="0" borderId="0" xfId="0" applyFont="1" applyFill="1" applyAlignment="1">
      <alignment horizontal="center"/>
    </xf>
    <xf numFmtId="0" fontId="32" fillId="37" borderId="13" xfId="0" applyFont="1" applyFill="1" applyBorder="1" applyAlignment="1">
      <alignment horizontal="left" wrapText="1"/>
    </xf>
    <xf numFmtId="0" fontId="46" fillId="37" borderId="13" xfId="0" applyFont="1" applyFill="1" applyBorder="1" applyAlignment="1">
      <alignment horizontal="left" wrapText="1"/>
    </xf>
    <xf numFmtId="0" fontId="32" fillId="37" borderId="13" xfId="0" applyFont="1" applyFill="1" applyBorder="1" applyAlignment="1">
      <alignment wrapText="1"/>
    </xf>
    <xf numFmtId="0" fontId="36" fillId="0" borderId="0" xfId="0" applyFont="1" applyAlignment="1">
      <alignment/>
    </xf>
    <xf numFmtId="0" fontId="29" fillId="36" borderId="16" xfId="0" applyFont="1" applyFill="1" applyBorder="1" applyAlignment="1">
      <alignment horizontal="center" wrapText="1"/>
    </xf>
    <xf numFmtId="171" fontId="30" fillId="36" borderId="13" xfId="63" applyFont="1" applyFill="1" applyBorder="1" applyAlignment="1">
      <alignment wrapText="1"/>
    </xf>
    <xf numFmtId="171" fontId="34" fillId="36" borderId="13" xfId="63" applyFont="1" applyFill="1" applyBorder="1" applyAlignment="1">
      <alignment wrapText="1"/>
    </xf>
    <xf numFmtId="171" fontId="34" fillId="37" borderId="13" xfId="63" applyFont="1" applyFill="1" applyBorder="1" applyAlignment="1">
      <alignment wrapText="1"/>
    </xf>
    <xf numFmtId="171" fontId="30" fillId="43" borderId="13" xfId="63" applyFont="1" applyFill="1" applyBorder="1" applyAlignment="1">
      <alignment wrapText="1"/>
    </xf>
    <xf numFmtId="171" fontId="34" fillId="0" borderId="0" xfId="63" applyFont="1" applyAlignment="1">
      <alignment/>
    </xf>
    <xf numFmtId="171" fontId="36" fillId="0" borderId="0" xfId="63" applyFont="1" applyAlignment="1">
      <alignment/>
    </xf>
    <xf numFmtId="0" fontId="36" fillId="0" borderId="0" xfId="0" applyFont="1" applyFill="1" applyBorder="1" applyAlignment="1">
      <alignment/>
    </xf>
    <xf numFmtId="0" fontId="34" fillId="0" borderId="0" xfId="0" applyFont="1" applyAlignment="1">
      <alignment horizontal="center"/>
    </xf>
    <xf numFmtId="0" fontId="29" fillId="36" borderId="16" xfId="0" applyFont="1" applyFill="1" applyBorder="1" applyAlignment="1">
      <alignment horizontal="left" wrapText="1"/>
    </xf>
    <xf numFmtId="171" fontId="36" fillId="37" borderId="13" xfId="63" applyFont="1" applyFill="1" applyBorder="1" applyAlignment="1">
      <alignment horizontal="right" wrapText="1"/>
    </xf>
    <xf numFmtId="171" fontId="36" fillId="0" borderId="0" xfId="63" applyFont="1" applyFill="1" applyAlignment="1">
      <alignment/>
    </xf>
    <xf numFmtId="171" fontId="29" fillId="36" borderId="17" xfId="63" applyFont="1" applyFill="1" applyBorder="1" applyAlignment="1">
      <alignment wrapText="1"/>
    </xf>
    <xf numFmtId="171" fontId="34" fillId="36" borderId="17" xfId="63" applyFont="1" applyFill="1" applyBorder="1" applyAlignment="1">
      <alignment wrapText="1"/>
    </xf>
    <xf numFmtId="0" fontId="29" fillId="37" borderId="16" xfId="0" applyFont="1" applyFill="1" applyBorder="1" applyAlignment="1">
      <alignment horizontal="center" wrapText="1"/>
    </xf>
    <xf numFmtId="0" fontId="30" fillId="0" borderId="16" xfId="0" applyFont="1" applyFill="1" applyBorder="1" applyAlignment="1">
      <alignment horizontal="center" wrapText="1"/>
    </xf>
    <xf numFmtId="0" fontId="0" fillId="0" borderId="0" xfId="0" applyBorder="1" applyAlignment="1">
      <alignment/>
    </xf>
    <xf numFmtId="171" fontId="34" fillId="0" borderId="0" xfId="63" applyFont="1" applyBorder="1" applyAlignment="1">
      <alignment/>
    </xf>
    <xf numFmtId="0" fontId="34" fillId="0" borderId="0" xfId="0" applyFont="1" applyBorder="1" applyAlignment="1">
      <alignment horizontal="center"/>
    </xf>
    <xf numFmtId="171" fontId="36" fillId="0" borderId="0" xfId="63" applyFont="1" applyFill="1" applyBorder="1" applyAlignment="1">
      <alignment/>
    </xf>
    <xf numFmtId="171" fontId="36" fillId="0" borderId="13" xfId="63" applyFont="1" applyFill="1" applyBorder="1" applyAlignment="1">
      <alignment horizontal="right" wrapText="1"/>
    </xf>
    <xf numFmtId="171" fontId="36" fillId="0" borderId="17" xfId="63" applyFont="1" applyFill="1" applyBorder="1" applyAlignment="1">
      <alignment wrapText="1"/>
    </xf>
    <xf numFmtId="171" fontId="30" fillId="0" borderId="17" xfId="63" applyFont="1" applyFill="1" applyBorder="1" applyAlignment="1">
      <alignment wrapText="1"/>
    </xf>
    <xf numFmtId="171" fontId="36" fillId="37" borderId="17" xfId="63" applyFont="1" applyFill="1" applyBorder="1" applyAlignment="1">
      <alignment horizontal="right" wrapText="1"/>
    </xf>
    <xf numFmtId="0" fontId="29" fillId="42" borderId="16" xfId="0" applyFont="1" applyFill="1" applyBorder="1" applyAlignment="1">
      <alignment horizontal="left" wrapText="1"/>
    </xf>
    <xf numFmtId="171" fontId="29" fillId="42" borderId="16" xfId="0" applyNumberFormat="1" applyFont="1" applyFill="1" applyBorder="1" applyAlignment="1">
      <alignment horizontal="center" wrapText="1"/>
    </xf>
    <xf numFmtId="171" fontId="36" fillId="43" borderId="13" xfId="63" applyFont="1" applyFill="1" applyBorder="1" applyAlignment="1">
      <alignment wrapText="1"/>
    </xf>
    <xf numFmtId="0" fontId="29" fillId="37" borderId="16" xfId="0" applyFont="1" applyFill="1" applyBorder="1" applyAlignment="1">
      <alignment horizontal="left" wrapText="1"/>
    </xf>
    <xf numFmtId="171" fontId="29" fillId="37" borderId="13" xfId="63" applyFont="1" applyFill="1" applyBorder="1" applyAlignment="1">
      <alignment wrapText="1"/>
    </xf>
    <xf numFmtId="0" fontId="29" fillId="0" borderId="16" xfId="0" applyFont="1" applyFill="1" applyBorder="1" applyAlignment="1">
      <alignment horizontal="left" wrapText="1"/>
    </xf>
    <xf numFmtId="0" fontId="34" fillId="0" borderId="0" xfId="0" applyFont="1" applyFill="1" applyAlignment="1">
      <alignment horizontal="center"/>
    </xf>
    <xf numFmtId="171" fontId="29" fillId="0" borderId="16" xfId="63" applyFont="1" applyFill="1" applyBorder="1" applyAlignment="1">
      <alignment horizontal="center" wrapText="1"/>
    </xf>
    <xf numFmtId="0" fontId="30" fillId="0" borderId="16" xfId="0" applyFont="1" applyFill="1" applyBorder="1" applyAlignment="1">
      <alignment horizontal="left" wrapText="1"/>
    </xf>
    <xf numFmtId="171" fontId="30" fillId="0" borderId="16" xfId="63" applyFont="1" applyFill="1" applyBorder="1" applyAlignment="1">
      <alignment horizontal="center" wrapText="1"/>
    </xf>
    <xf numFmtId="0" fontId="22" fillId="36" borderId="16" xfId="0" applyFont="1" applyFill="1" applyBorder="1" applyAlignment="1">
      <alignment horizontal="left" wrapText="1"/>
    </xf>
    <xf numFmtId="171" fontId="22" fillId="36" borderId="13" xfId="63" applyFont="1" applyFill="1" applyBorder="1" applyAlignment="1">
      <alignment wrapText="1"/>
    </xf>
    <xf numFmtId="0" fontId="22" fillId="0" borderId="16" xfId="0" applyFont="1" applyFill="1" applyBorder="1" applyAlignment="1">
      <alignment horizontal="left" wrapText="1"/>
    </xf>
    <xf numFmtId="171" fontId="22" fillId="0" borderId="13" xfId="63" applyFont="1" applyFill="1" applyBorder="1" applyAlignment="1">
      <alignment wrapText="1"/>
    </xf>
    <xf numFmtId="171" fontId="29" fillId="42" borderId="13" xfId="63" applyFont="1" applyFill="1" applyBorder="1" applyAlignment="1">
      <alignment wrapText="1"/>
    </xf>
    <xf numFmtId="171" fontId="29" fillId="0" borderId="13" xfId="63" applyFont="1" applyBorder="1" applyAlignment="1">
      <alignment wrapText="1"/>
    </xf>
    <xf numFmtId="0" fontId="36" fillId="0" borderId="0" xfId="0" applyFont="1" applyFill="1" applyAlignment="1">
      <alignment horizontal="center"/>
    </xf>
    <xf numFmtId="10" fontId="30" fillId="0" borderId="16" xfId="52" applyNumberFormat="1" applyFont="1" applyFill="1" applyBorder="1" applyAlignment="1">
      <alignment horizontal="center" wrapText="1"/>
    </xf>
    <xf numFmtId="171" fontId="36" fillId="0" borderId="0" xfId="63" applyFont="1" applyFill="1" applyAlignment="1">
      <alignment horizontal="center"/>
    </xf>
    <xf numFmtId="0" fontId="29" fillId="39" borderId="13" xfId="0" applyFont="1" applyFill="1" applyBorder="1" applyAlignment="1">
      <alignment vertical="center"/>
    </xf>
    <xf numFmtId="171" fontId="29" fillId="39" borderId="13" xfId="63" applyFont="1" applyFill="1" applyBorder="1" applyAlignment="1">
      <alignment vertical="center"/>
    </xf>
    <xf numFmtId="0" fontId="34" fillId="0" borderId="16" xfId="0" applyFont="1" applyFill="1" applyBorder="1" applyAlignment="1">
      <alignment horizontal="center" wrapText="1"/>
    </xf>
    <xf numFmtId="171" fontId="19" fillId="0" borderId="13" xfId="63" applyFont="1" applyFill="1" applyBorder="1" applyAlignment="1">
      <alignment horizontal="center" wrapText="1"/>
    </xf>
    <xf numFmtId="171" fontId="22" fillId="0" borderId="13" xfId="63" applyFont="1" applyFill="1" applyBorder="1" applyAlignment="1">
      <alignment horizontal="center" wrapText="1"/>
    </xf>
    <xf numFmtId="0" fontId="22" fillId="0" borderId="16" xfId="0" applyFont="1" applyFill="1" applyBorder="1" applyAlignment="1">
      <alignment horizontal="center" vertical="center" textRotation="90" wrapText="1"/>
    </xf>
    <xf numFmtId="0" fontId="22" fillId="0" borderId="16" xfId="0" applyFont="1" applyFill="1" applyBorder="1" applyAlignment="1">
      <alignment horizontal="center" wrapText="1"/>
    </xf>
    <xf numFmtId="0" fontId="24" fillId="40" borderId="13" xfId="0" applyFont="1" applyFill="1" applyBorder="1" applyAlignment="1" applyProtection="1">
      <alignment vertical="center"/>
      <protection/>
    </xf>
    <xf numFmtId="171" fontId="29" fillId="37" borderId="17" xfId="63" applyFont="1" applyFill="1" applyBorder="1" applyAlignment="1">
      <alignment wrapText="1"/>
    </xf>
    <xf numFmtId="171" fontId="34" fillId="37" borderId="17" xfId="63" applyFont="1" applyFill="1" applyBorder="1" applyAlignment="1">
      <alignment wrapText="1"/>
    </xf>
    <xf numFmtId="0" fontId="36" fillId="0" borderId="13" xfId="0" applyFont="1" applyFill="1" applyBorder="1" applyAlignment="1">
      <alignment horizontal="center" vertical="center" wrapText="1"/>
    </xf>
    <xf numFmtId="171" fontId="29" fillId="36" borderId="13" xfId="63" applyFont="1" applyFill="1" applyBorder="1" applyAlignment="1">
      <alignment wrapText="1"/>
    </xf>
    <xf numFmtId="171" fontId="29" fillId="0" borderId="13" xfId="63" applyFont="1" applyFill="1" applyBorder="1" applyAlignment="1">
      <alignment wrapText="1"/>
    </xf>
    <xf numFmtId="0" fontId="0" fillId="0" borderId="0" xfId="0" applyFill="1" applyBorder="1" applyAlignment="1">
      <alignment/>
    </xf>
    <xf numFmtId="0" fontId="24" fillId="44" borderId="13" xfId="0" applyFont="1" applyFill="1" applyBorder="1" applyAlignment="1" applyProtection="1">
      <alignment horizontal="center" vertical="center"/>
      <protection/>
    </xf>
    <xf numFmtId="49" fontId="24" fillId="36" borderId="13" xfId="0" applyNumberFormat="1" applyFont="1" applyFill="1" applyBorder="1" applyAlignment="1" applyProtection="1">
      <alignment horizontal="center" vertical="center" wrapText="1"/>
      <protection/>
    </xf>
    <xf numFmtId="49" fontId="24" fillId="44" borderId="13" xfId="0" applyNumberFormat="1" applyFont="1" applyFill="1" applyBorder="1" applyAlignment="1" applyProtection="1">
      <alignment horizontal="center" vertical="center" wrapText="1"/>
      <protection/>
    </xf>
    <xf numFmtId="0" fontId="30" fillId="0" borderId="0" xfId="0" applyFont="1" applyFill="1" applyBorder="1" applyAlignment="1">
      <alignment vertical="center"/>
    </xf>
    <xf numFmtId="49" fontId="24" fillId="44" borderId="13" xfId="0" applyNumberFormat="1" applyFont="1" applyFill="1" applyBorder="1" applyAlignment="1" applyProtection="1">
      <alignment vertical="center"/>
      <protection/>
    </xf>
    <xf numFmtId="49" fontId="25" fillId="44" borderId="13" xfId="0" applyNumberFormat="1" applyFont="1" applyFill="1" applyBorder="1" applyAlignment="1" applyProtection="1">
      <alignment horizontal="left" vertical="center" indent="2"/>
      <protection/>
    </xf>
    <xf numFmtId="171" fontId="25" fillId="42" borderId="13" xfId="63" applyNumberFormat="1" applyFont="1" applyFill="1" applyBorder="1" applyAlignment="1" applyProtection="1">
      <alignment vertical="center"/>
      <protection/>
    </xf>
    <xf numFmtId="171" fontId="25" fillId="45" borderId="13" xfId="63" applyNumberFormat="1" applyFont="1" applyFill="1" applyBorder="1" applyAlignment="1" applyProtection="1">
      <alignment vertical="center"/>
      <protection/>
    </xf>
    <xf numFmtId="171" fontId="25" fillId="46" borderId="13" xfId="63" applyNumberFormat="1" applyFont="1" applyFill="1" applyBorder="1" applyAlignment="1" applyProtection="1">
      <alignment vertical="center"/>
      <protection/>
    </xf>
    <xf numFmtId="0" fontId="25" fillId="44" borderId="13" xfId="0" applyFont="1" applyFill="1" applyBorder="1" applyAlignment="1" applyProtection="1">
      <alignment horizontal="left" vertical="center" indent="2"/>
      <protection/>
    </xf>
    <xf numFmtId="49" fontId="26" fillId="44" borderId="13" xfId="0" applyNumberFormat="1" applyFont="1" applyFill="1" applyBorder="1" applyAlignment="1" applyProtection="1">
      <alignment horizontal="left" vertical="center"/>
      <protection/>
    </xf>
    <xf numFmtId="171" fontId="26" fillId="42" borderId="13" xfId="63" applyNumberFormat="1" applyFont="1" applyFill="1" applyBorder="1" applyAlignment="1" applyProtection="1">
      <alignment vertical="center"/>
      <protection/>
    </xf>
    <xf numFmtId="0" fontId="26" fillId="0" borderId="0" xfId="0" applyFont="1" applyFill="1" applyBorder="1" applyAlignment="1">
      <alignment vertical="center"/>
    </xf>
    <xf numFmtId="0" fontId="25" fillId="44" borderId="13" xfId="0" applyFont="1" applyFill="1" applyBorder="1" applyAlignment="1" applyProtection="1">
      <alignment horizontal="left" vertical="center" indent="1"/>
      <protection/>
    </xf>
    <xf numFmtId="49" fontId="25" fillId="44" borderId="13" xfId="0" applyNumberFormat="1" applyFont="1" applyFill="1" applyBorder="1" applyAlignment="1" applyProtection="1">
      <alignment horizontal="left" vertical="center" indent="1"/>
      <protection/>
    </xf>
    <xf numFmtId="0" fontId="26" fillId="36" borderId="13" xfId="0" applyFont="1" applyFill="1" applyBorder="1" applyAlignment="1" applyProtection="1">
      <alignment horizontal="left" vertical="center" indent="1"/>
      <protection/>
    </xf>
    <xf numFmtId="0" fontId="26" fillId="0" borderId="0" xfId="0" applyFont="1" applyFill="1" applyAlignment="1">
      <alignment vertical="center"/>
    </xf>
    <xf numFmtId="0" fontId="29" fillId="0" borderId="0" xfId="0" applyFont="1" applyFill="1" applyBorder="1" applyAlignment="1">
      <alignment vertical="center"/>
    </xf>
    <xf numFmtId="0" fontId="18" fillId="0" borderId="0" xfId="0" applyFont="1" applyFill="1" applyBorder="1" applyAlignment="1">
      <alignment vertical="center"/>
    </xf>
    <xf numFmtId="0" fontId="18" fillId="0" borderId="0" xfId="0" applyFont="1" applyAlignment="1">
      <alignment vertical="center"/>
    </xf>
    <xf numFmtId="171" fontId="25" fillId="47" borderId="13" xfId="63" applyNumberFormat="1" applyFont="1" applyFill="1" applyBorder="1" applyAlignment="1" applyProtection="1">
      <alignment vertical="center"/>
      <protection/>
    </xf>
    <xf numFmtId="171" fontId="25" fillId="34" borderId="13" xfId="63" applyNumberFormat="1" applyFont="1" applyFill="1" applyBorder="1" applyAlignment="1" applyProtection="1">
      <alignment vertical="center"/>
      <protection/>
    </xf>
    <xf numFmtId="171" fontId="25" fillId="48" borderId="13" xfId="63" applyNumberFormat="1" applyFont="1" applyFill="1" applyBorder="1" applyAlignment="1" applyProtection="1">
      <alignment vertical="center"/>
      <protection/>
    </xf>
    <xf numFmtId="0" fontId="34" fillId="0" borderId="13" xfId="0" applyFont="1" applyBorder="1" applyAlignment="1">
      <alignment horizontal="center" vertical="center" wrapText="1"/>
    </xf>
    <xf numFmtId="0" fontId="47" fillId="0" borderId="0" xfId="0" applyFont="1" applyBorder="1" applyAlignment="1">
      <alignment wrapText="1"/>
    </xf>
    <xf numFmtId="0" fontId="13" fillId="0" borderId="12" xfId="0" applyFont="1" applyFill="1" applyBorder="1" applyAlignment="1">
      <alignment wrapText="1"/>
    </xf>
    <xf numFmtId="0" fontId="13" fillId="0" borderId="10" xfId="0" applyFont="1" applyFill="1" applyBorder="1" applyAlignment="1">
      <alignment wrapText="1"/>
    </xf>
    <xf numFmtId="0" fontId="13" fillId="0" borderId="18" xfId="0" applyFont="1" applyFill="1" applyBorder="1" applyAlignment="1">
      <alignment wrapText="1"/>
    </xf>
    <xf numFmtId="0" fontId="11" fillId="0" borderId="0" xfId="0" applyFont="1" applyFill="1" applyBorder="1" applyAlignment="1">
      <alignment wrapText="1"/>
    </xf>
    <xf numFmtId="0" fontId="27" fillId="0" borderId="12" xfId="0" applyFont="1" applyBorder="1" applyAlignment="1">
      <alignment wrapText="1"/>
    </xf>
    <xf numFmtId="0" fontId="0" fillId="0" borderId="10" xfId="0" applyFont="1" applyFill="1" applyBorder="1" applyAlignment="1">
      <alignment wrapText="1"/>
    </xf>
    <xf numFmtId="0" fontId="11" fillId="0" borderId="19" xfId="0" applyFont="1" applyFill="1" applyBorder="1" applyAlignment="1">
      <alignment wrapText="1"/>
    </xf>
    <xf numFmtId="171" fontId="34" fillId="0" borderId="0" xfId="63" applyFont="1" applyFill="1" applyBorder="1" applyAlignment="1">
      <alignment/>
    </xf>
    <xf numFmtId="171" fontId="34" fillId="42" borderId="13" xfId="63" applyFont="1" applyFill="1" applyBorder="1" applyAlignment="1">
      <alignment wrapText="1"/>
    </xf>
    <xf numFmtId="171" fontId="34" fillId="0" borderId="0" xfId="63" applyFont="1" applyFill="1" applyAlignment="1">
      <alignment/>
    </xf>
    <xf numFmtId="0" fontId="19" fillId="0" borderId="13" xfId="0" applyFont="1" applyFill="1" applyBorder="1" applyAlignment="1">
      <alignment horizontal="center"/>
    </xf>
    <xf numFmtId="0" fontId="50" fillId="0" borderId="13" xfId="0" applyFont="1" applyFill="1" applyBorder="1" applyAlignment="1">
      <alignment wrapText="1"/>
    </xf>
    <xf numFmtId="0" fontId="0" fillId="0" borderId="0" xfId="0" applyFont="1" applyFill="1" applyAlignment="1">
      <alignment horizontal="center"/>
    </xf>
    <xf numFmtId="0" fontId="50" fillId="0" borderId="13" xfId="0" applyFont="1" applyFill="1" applyBorder="1" applyAlignment="1" applyProtection="1">
      <alignment/>
      <protection/>
    </xf>
    <xf numFmtId="0" fontId="50" fillId="0" borderId="13" xfId="0" applyFont="1" applyFill="1" applyBorder="1" applyAlignment="1">
      <alignment/>
    </xf>
    <xf numFmtId="0" fontId="20" fillId="0" borderId="0" xfId="0" applyFont="1" applyFill="1" applyAlignment="1">
      <alignment/>
    </xf>
    <xf numFmtId="0" fontId="49" fillId="0" borderId="0" xfId="0" applyFont="1" applyFill="1" applyAlignment="1">
      <alignment/>
    </xf>
    <xf numFmtId="0" fontId="50" fillId="0" borderId="13" xfId="0" applyFont="1" applyFill="1" applyBorder="1" applyAlignment="1" applyProtection="1">
      <alignment wrapText="1"/>
      <protection/>
    </xf>
    <xf numFmtId="0" fontId="14" fillId="0" borderId="13" xfId="0" applyFont="1" applyFill="1" applyBorder="1" applyAlignment="1" applyProtection="1">
      <alignment horizontal="left" vertical="center" indent="1"/>
      <protection/>
    </xf>
    <xf numFmtId="0" fontId="41" fillId="0" borderId="13" xfId="0" applyFont="1" applyFill="1" applyBorder="1" applyAlignment="1" applyProtection="1">
      <alignment horizontal="center" vertical="center"/>
      <protection/>
    </xf>
    <xf numFmtId="0" fontId="25" fillId="0" borderId="13" xfId="0" applyFont="1" applyFill="1" applyBorder="1" applyAlignment="1" applyProtection="1">
      <alignment horizontal="left" vertical="center" wrapText="1" indent="1"/>
      <protection/>
    </xf>
    <xf numFmtId="171" fontId="25" fillId="42" borderId="13" xfId="63" applyNumberFormat="1" applyFont="1" applyFill="1" applyBorder="1" applyAlignment="1" applyProtection="1">
      <alignment vertical="center"/>
      <protection locked="0"/>
    </xf>
    <xf numFmtId="171" fontId="30" fillId="42" borderId="13" xfId="63" applyNumberFormat="1" applyFont="1" applyFill="1" applyBorder="1" applyAlignment="1" applyProtection="1">
      <alignment vertical="center"/>
      <protection/>
    </xf>
    <xf numFmtId="0" fontId="29" fillId="33" borderId="13" xfId="0" applyFont="1" applyFill="1" applyBorder="1" applyAlignment="1">
      <alignment vertical="center"/>
    </xf>
    <xf numFmtId="0" fontId="29" fillId="33" borderId="13" xfId="0" applyFont="1" applyFill="1" applyBorder="1" applyAlignment="1">
      <alignment horizontal="center" vertical="center"/>
    </xf>
    <xf numFmtId="171" fontId="29" fillId="33" borderId="13" xfId="63" applyFont="1" applyFill="1" applyBorder="1" applyAlignment="1">
      <alignment vertical="center"/>
    </xf>
    <xf numFmtId="178" fontId="22" fillId="37" borderId="13" xfId="0" applyNumberFormat="1" applyFont="1" applyFill="1" applyBorder="1" applyAlignment="1" applyProtection="1">
      <alignment horizontal="left" vertical="center"/>
      <protection/>
    </xf>
    <xf numFmtId="178" fontId="22" fillId="37" borderId="20" xfId="0" applyNumberFormat="1" applyFont="1" applyFill="1" applyBorder="1" applyAlignment="1" applyProtection="1">
      <alignment horizontal="center" vertical="center" wrapText="1"/>
      <protection/>
    </xf>
    <xf numFmtId="171" fontId="22" fillId="37" borderId="13" xfId="0" applyNumberFormat="1" applyFont="1" applyFill="1" applyBorder="1" applyAlignment="1" applyProtection="1">
      <alignment horizontal="center" vertical="center"/>
      <protection/>
    </xf>
    <xf numFmtId="171" fontId="25" fillId="40" borderId="13" xfId="63" applyNumberFormat="1" applyFont="1" applyFill="1" applyBorder="1" applyAlignment="1" applyProtection="1">
      <alignment vertical="center"/>
      <protection locked="0"/>
    </xf>
    <xf numFmtId="0" fontId="36" fillId="0" borderId="0" xfId="0" applyFont="1" applyFill="1" applyAlignment="1">
      <alignment/>
    </xf>
    <xf numFmtId="0" fontId="36" fillId="0" borderId="0" xfId="0" applyFont="1" applyAlignment="1">
      <alignment/>
    </xf>
    <xf numFmtId="0" fontId="51" fillId="0" borderId="13" xfId="63" applyNumberFormat="1" applyFont="1" applyFill="1" applyBorder="1" applyAlignment="1" applyProtection="1">
      <alignment horizontal="center" vertical="center" wrapText="1"/>
      <protection/>
    </xf>
    <xf numFmtId="0" fontId="37" fillId="36" borderId="13" xfId="0" applyFont="1" applyFill="1" applyBorder="1" applyAlignment="1" applyProtection="1">
      <alignment horizontal="center" vertical="center" wrapText="1"/>
      <protection/>
    </xf>
    <xf numFmtId="1" fontId="37" fillId="36" borderId="13" xfId="63" applyNumberFormat="1" applyFont="1" applyFill="1" applyBorder="1" applyAlignment="1" applyProtection="1">
      <alignment horizontal="center" vertical="center" wrapText="1"/>
      <protection/>
    </xf>
    <xf numFmtId="171" fontId="41" fillId="42" borderId="13" xfId="63" applyFont="1" applyFill="1" applyBorder="1" applyAlignment="1" applyProtection="1">
      <alignment horizontal="left" vertical="center" indent="2"/>
      <protection/>
    </xf>
    <xf numFmtId="171" fontId="41" fillId="0" borderId="13" xfId="63" applyFont="1" applyFill="1" applyBorder="1" applyAlignment="1" applyProtection="1">
      <alignment horizontal="left" vertical="center" indent="2"/>
      <protection/>
    </xf>
    <xf numFmtId="171" fontId="37" fillId="39" borderId="13" xfId="63" applyFont="1" applyFill="1" applyBorder="1" applyAlignment="1" applyProtection="1">
      <alignment horizontal="left" vertical="center" indent="1"/>
      <protection/>
    </xf>
    <xf numFmtId="171" fontId="37" fillId="45" borderId="13" xfId="63" applyFont="1" applyFill="1" applyBorder="1" applyAlignment="1" applyProtection="1">
      <alignment vertical="center"/>
      <protection/>
    </xf>
    <xf numFmtId="10" fontId="37" fillId="34" borderId="13" xfId="52" applyNumberFormat="1" applyFont="1" applyFill="1" applyBorder="1" applyAlignment="1" applyProtection="1">
      <alignment vertical="center"/>
      <protection/>
    </xf>
    <xf numFmtId="10" fontId="37" fillId="0" borderId="0" xfId="52" applyNumberFormat="1" applyFont="1" applyFill="1" applyBorder="1" applyAlignment="1" applyProtection="1">
      <alignment vertical="center"/>
      <protection/>
    </xf>
    <xf numFmtId="171" fontId="41" fillId="0" borderId="13" xfId="63" applyFont="1" applyFill="1" applyBorder="1" applyAlignment="1" applyProtection="1">
      <alignment horizontal="left" vertical="center" indent="2"/>
      <protection locked="0"/>
    </xf>
    <xf numFmtId="171" fontId="41" fillId="43" borderId="13" xfId="63" applyFont="1" applyFill="1" applyBorder="1" applyAlignment="1" applyProtection="1">
      <alignment horizontal="left" vertical="center" indent="2"/>
      <protection/>
    </xf>
    <xf numFmtId="171" fontId="36" fillId="0" borderId="13" xfId="63" applyFont="1" applyFill="1" applyBorder="1" applyAlignment="1" applyProtection="1">
      <alignment horizontal="left" vertical="center" indent="2"/>
      <protection/>
    </xf>
    <xf numFmtId="0" fontId="37" fillId="36" borderId="14" xfId="0" applyFont="1" applyFill="1" applyBorder="1" applyAlignment="1" applyProtection="1">
      <alignment horizontal="center" vertical="center" wrapText="1"/>
      <protection/>
    </xf>
    <xf numFmtId="0" fontId="41" fillId="36" borderId="13" xfId="63" applyNumberFormat="1" applyFont="1" applyFill="1" applyBorder="1" applyAlignment="1" applyProtection="1">
      <alignment horizontal="left" vertical="center" wrapText="1"/>
      <protection/>
    </xf>
    <xf numFmtId="0" fontId="41" fillId="0" borderId="13" xfId="63" applyNumberFormat="1" applyFont="1" applyFill="1" applyBorder="1" applyAlignment="1" applyProtection="1">
      <alignment horizontal="center" vertical="center" wrapText="1"/>
      <protection/>
    </xf>
    <xf numFmtId="0" fontId="41" fillId="0" borderId="13" xfId="63" applyNumberFormat="1" applyFont="1" applyFill="1" applyBorder="1" applyAlignment="1" applyProtection="1">
      <alignment horizontal="left" vertical="center" wrapText="1"/>
      <protection/>
    </xf>
    <xf numFmtId="0" fontId="41" fillId="0" borderId="13" xfId="63" applyNumberFormat="1" applyFont="1" applyFill="1" applyBorder="1" applyAlignment="1" applyProtection="1">
      <alignment horizontal="center" vertical="center"/>
      <protection/>
    </xf>
    <xf numFmtId="0" fontId="37" fillId="36" borderId="13" xfId="63" applyNumberFormat="1" applyFont="1" applyFill="1" applyBorder="1" applyAlignment="1" applyProtection="1">
      <alignment horizontal="justify" vertical="center" wrapText="1"/>
      <protection/>
    </xf>
    <xf numFmtId="0" fontId="37" fillId="36" borderId="13" xfId="63" applyNumberFormat="1" applyFont="1" applyFill="1" applyBorder="1" applyAlignment="1" applyProtection="1">
      <alignment vertical="center" wrapText="1"/>
      <protection/>
    </xf>
    <xf numFmtId="0" fontId="37" fillId="0" borderId="0" xfId="63" applyNumberFormat="1" applyFont="1" applyFill="1" applyBorder="1" applyAlignment="1" applyProtection="1">
      <alignment vertical="center" wrapText="1"/>
      <protection/>
    </xf>
    <xf numFmtId="0" fontId="41" fillId="0" borderId="0" xfId="63" applyNumberFormat="1" applyFont="1" applyFill="1" applyBorder="1" applyAlignment="1" applyProtection="1">
      <alignment horizontal="center" vertical="center"/>
      <protection/>
    </xf>
    <xf numFmtId="0" fontId="41" fillId="36" borderId="13" xfId="63" applyNumberFormat="1" applyFont="1" applyFill="1" applyBorder="1" applyAlignment="1" applyProtection="1">
      <alignment horizontal="left" vertical="center"/>
      <protection/>
    </xf>
    <xf numFmtId="0" fontId="41" fillId="0" borderId="13" xfId="63" applyNumberFormat="1" applyFont="1" applyFill="1" applyBorder="1" applyAlignment="1" applyProtection="1">
      <alignment horizontal="left" vertical="center"/>
      <protection/>
    </xf>
    <xf numFmtId="0" fontId="37" fillId="36" borderId="13" xfId="63" applyNumberFormat="1" applyFont="1" applyFill="1" applyBorder="1" applyAlignment="1" applyProtection="1">
      <alignment horizontal="justify" vertical="center"/>
      <protection/>
    </xf>
    <xf numFmtId="0" fontId="37" fillId="36" borderId="13" xfId="63" applyNumberFormat="1" applyFont="1" applyFill="1" applyBorder="1" applyAlignment="1" applyProtection="1">
      <alignment vertical="center"/>
      <protection/>
    </xf>
    <xf numFmtId="0" fontId="37" fillId="0" borderId="0" xfId="63" applyNumberFormat="1" applyFont="1" applyFill="1" applyBorder="1" applyAlignment="1" applyProtection="1">
      <alignment vertical="center"/>
      <protection/>
    </xf>
    <xf numFmtId="178" fontId="41" fillId="0" borderId="13" xfId="0" applyNumberFormat="1" applyFont="1" applyFill="1" applyBorder="1" applyAlignment="1" applyProtection="1">
      <alignment horizontal="center" vertical="center" wrapText="1"/>
      <protection/>
    </xf>
    <xf numFmtId="0" fontId="51" fillId="0" borderId="13" xfId="63" applyNumberFormat="1" applyFont="1" applyFill="1" applyBorder="1" applyAlignment="1" applyProtection="1">
      <alignment horizontal="center" vertical="center"/>
      <protection/>
    </xf>
    <xf numFmtId="0" fontId="43" fillId="0" borderId="0" xfId="0" applyFont="1" applyBorder="1" applyAlignment="1">
      <alignment wrapText="1"/>
    </xf>
    <xf numFmtId="1" fontId="37" fillId="36" borderId="14" xfId="63" applyNumberFormat="1" applyFont="1" applyFill="1" applyBorder="1" applyAlignment="1" applyProtection="1">
      <alignment horizontal="center" vertical="center" wrapText="1"/>
      <protection/>
    </xf>
    <xf numFmtId="171" fontId="41" fillId="42" borderId="14" xfId="63" applyFont="1" applyFill="1" applyBorder="1" applyAlignment="1" applyProtection="1">
      <alignment horizontal="left" vertical="center" indent="2"/>
      <protection/>
    </xf>
    <xf numFmtId="171" fontId="41" fillId="0" borderId="14" xfId="63" applyFont="1" applyFill="1" applyBorder="1" applyAlignment="1" applyProtection="1">
      <alignment horizontal="left" vertical="center" indent="2"/>
      <protection/>
    </xf>
    <xf numFmtId="171" fontId="37" fillId="39" borderId="14" xfId="63" applyFont="1" applyFill="1" applyBorder="1" applyAlignment="1" applyProtection="1">
      <alignment horizontal="left" vertical="center" indent="1"/>
      <protection/>
    </xf>
    <xf numFmtId="171" fontId="37" fillId="45" borderId="14" xfId="63" applyFont="1" applyFill="1" applyBorder="1" applyAlignment="1" applyProtection="1">
      <alignment vertical="center"/>
      <protection/>
    </xf>
    <xf numFmtId="10" fontId="37" fillId="34" borderId="14" xfId="52" applyNumberFormat="1" applyFont="1" applyFill="1" applyBorder="1" applyAlignment="1" applyProtection="1">
      <alignment vertical="center"/>
      <protection/>
    </xf>
    <xf numFmtId="171" fontId="36" fillId="0" borderId="14" xfId="63" applyFont="1" applyFill="1" applyBorder="1" applyAlignment="1" applyProtection="1">
      <alignment horizontal="left" vertical="center" indent="2"/>
      <protection/>
    </xf>
    <xf numFmtId="171" fontId="41" fillId="0" borderId="14" xfId="63" applyFont="1" applyFill="1" applyBorder="1" applyAlignment="1" applyProtection="1">
      <alignment horizontal="left" vertical="center" indent="2"/>
      <protection locked="0"/>
    </xf>
    <xf numFmtId="10" fontId="37" fillId="0" borderId="13" xfId="52" applyNumberFormat="1" applyFont="1" applyFill="1" applyBorder="1" applyAlignment="1" applyProtection="1">
      <alignment vertical="center"/>
      <protection/>
    </xf>
    <xf numFmtId="171" fontId="36" fillId="0" borderId="0" xfId="0" applyNumberFormat="1" applyFont="1" applyFill="1" applyAlignment="1">
      <alignment/>
    </xf>
    <xf numFmtId="0" fontId="21" fillId="0" borderId="13" xfId="0" applyFont="1" applyBorder="1" applyAlignment="1">
      <alignment horizontal="center" textRotation="90" wrapText="1"/>
    </xf>
    <xf numFmtId="0" fontId="22" fillId="0" borderId="12" xfId="0" applyFont="1" applyBorder="1" applyAlignment="1">
      <alignment wrapText="1"/>
    </xf>
    <xf numFmtId="0" fontId="55" fillId="0" borderId="14" xfId="0" applyFont="1" applyFill="1" applyBorder="1" applyAlignment="1">
      <alignment wrapText="1"/>
    </xf>
    <xf numFmtId="0" fontId="55" fillId="0" borderId="16" xfId="0" applyFont="1" applyFill="1" applyBorder="1" applyAlignment="1">
      <alignment horizontal="center" wrapText="1"/>
    </xf>
    <xf numFmtId="0" fontId="34" fillId="43" borderId="13" xfId="0" applyFont="1" applyFill="1" applyBorder="1" applyAlignment="1">
      <alignment horizontal="center" wrapText="1"/>
    </xf>
    <xf numFmtId="0" fontId="36" fillId="0" borderId="16" xfId="0" applyFont="1" applyFill="1" applyBorder="1" applyAlignment="1">
      <alignment horizontal="center" vertical="center" wrapText="1"/>
    </xf>
    <xf numFmtId="0" fontId="36" fillId="0" borderId="13" xfId="0" applyFont="1" applyBorder="1" applyAlignment="1">
      <alignment horizontal="center"/>
    </xf>
    <xf numFmtId="0" fontId="36" fillId="0" borderId="21" xfId="0" applyFont="1" applyFill="1" applyBorder="1" applyAlignment="1">
      <alignment horizontal="center" vertical="center" textRotation="90" wrapText="1"/>
    </xf>
    <xf numFmtId="0" fontId="36" fillId="0" borderId="17"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6" fillId="0" borderId="21" xfId="0" applyFont="1" applyFill="1" applyBorder="1" applyAlignment="1">
      <alignment horizontal="center" vertical="center" wrapText="1"/>
    </xf>
    <xf numFmtId="0" fontId="36" fillId="0" borderId="17" xfId="0" applyFont="1" applyBorder="1" applyAlignment="1">
      <alignment horizontal="center"/>
    </xf>
    <xf numFmtId="0" fontId="36" fillId="0" borderId="13" xfId="0" applyFont="1" applyFill="1" applyBorder="1" applyAlignment="1">
      <alignment horizontal="center" vertical="center" textRotation="90" wrapText="1"/>
    </xf>
    <xf numFmtId="0" fontId="30" fillId="0" borderId="0" xfId="0" applyFont="1" applyFill="1" applyBorder="1" applyAlignment="1">
      <alignment horizontal="center" vertical="center" textRotation="90" wrapText="1"/>
    </xf>
    <xf numFmtId="0" fontId="29" fillId="0" borderId="0" xfId="0" applyFont="1" applyFill="1" applyBorder="1" applyAlignment="1">
      <alignment horizontal="left" vertical="center" wrapText="1"/>
    </xf>
    <xf numFmtId="0" fontId="30" fillId="0" borderId="0" xfId="0" applyFont="1" applyFill="1" applyBorder="1" applyAlignment="1">
      <alignment horizontal="center"/>
    </xf>
    <xf numFmtId="171" fontId="29" fillId="0" borderId="0" xfId="63" applyFont="1" applyFill="1" applyBorder="1" applyAlignment="1">
      <alignment horizontal="center" wrapText="1"/>
    </xf>
    <xf numFmtId="0" fontId="30" fillId="0" borderId="0" xfId="0" applyFont="1" applyFill="1" applyBorder="1" applyAlignment="1">
      <alignment horizontal="center" vertical="center" wrapText="1"/>
    </xf>
    <xf numFmtId="0" fontId="55" fillId="0" borderId="13" xfId="0" applyFont="1" applyFill="1" applyBorder="1" applyAlignment="1">
      <alignment wrapText="1"/>
    </xf>
    <xf numFmtId="0" fontId="55" fillId="0" borderId="13" xfId="0" applyFont="1" applyFill="1" applyBorder="1" applyAlignment="1">
      <alignment horizontal="center" wrapText="1"/>
    </xf>
    <xf numFmtId="0" fontId="31" fillId="49" borderId="14" xfId="0" applyFont="1" applyFill="1" applyBorder="1" applyAlignment="1">
      <alignment/>
    </xf>
    <xf numFmtId="0" fontId="31" fillId="49" borderId="10" xfId="0" applyFont="1" applyFill="1" applyBorder="1" applyAlignment="1">
      <alignment/>
    </xf>
    <xf numFmtId="0" fontId="31" fillId="49" borderId="18" xfId="0" applyFont="1" applyFill="1" applyBorder="1" applyAlignment="1">
      <alignment/>
    </xf>
    <xf numFmtId="0" fontId="39" fillId="0" borderId="0" xfId="0" applyFont="1" applyBorder="1" applyAlignment="1">
      <alignment horizontal="center" wrapText="1"/>
    </xf>
    <xf numFmtId="0" fontId="39" fillId="0" borderId="19" xfId="0" applyFont="1" applyBorder="1" applyAlignment="1">
      <alignment horizontal="center" wrapText="1"/>
    </xf>
    <xf numFmtId="0" fontId="59" fillId="0" borderId="13" xfId="0" applyFont="1" applyFill="1" applyBorder="1" applyAlignment="1">
      <alignment horizontal="center" wrapText="1"/>
    </xf>
    <xf numFmtId="178" fontId="24" fillId="36" borderId="13" xfId="0" applyNumberFormat="1" applyFont="1" applyFill="1" applyBorder="1" applyAlignment="1" applyProtection="1">
      <alignment horizontal="center" vertical="center" wrapText="1"/>
      <protection/>
    </xf>
    <xf numFmtId="0" fontId="60" fillId="0" borderId="0" xfId="0" applyFont="1" applyFill="1" applyBorder="1" applyAlignment="1">
      <alignment vertical="center"/>
    </xf>
    <xf numFmtId="0" fontId="60" fillId="0" borderId="0" xfId="0" applyFont="1" applyAlignment="1">
      <alignment vertical="center"/>
    </xf>
    <xf numFmtId="0" fontId="47" fillId="0" borderId="19" xfId="0" applyFont="1" applyBorder="1" applyAlignment="1">
      <alignment wrapText="1"/>
    </xf>
    <xf numFmtId="0" fontId="46" fillId="37" borderId="13" xfId="0" applyFont="1" applyFill="1" applyBorder="1" applyAlignment="1">
      <alignment wrapText="1"/>
    </xf>
    <xf numFmtId="49" fontId="25" fillId="44" borderId="13" xfId="0" applyNumberFormat="1" applyFont="1" applyFill="1" applyBorder="1" applyAlignment="1" applyProtection="1">
      <alignment horizontal="center" vertical="center"/>
      <protection/>
    </xf>
    <xf numFmtId="49" fontId="24" fillId="50" borderId="13" xfId="0" applyNumberFormat="1" applyFont="1" applyFill="1" applyBorder="1" applyAlignment="1" applyProtection="1">
      <alignment horizontal="left" vertical="center" indent="1"/>
      <protection/>
    </xf>
    <xf numFmtId="49" fontId="25" fillId="50" borderId="13" xfId="0" applyNumberFormat="1" applyFont="1" applyFill="1" applyBorder="1" applyAlignment="1" applyProtection="1">
      <alignment horizontal="center" vertical="center"/>
      <protection/>
    </xf>
    <xf numFmtId="49" fontId="25" fillId="48" borderId="13" xfId="0" applyNumberFormat="1" applyFont="1" applyFill="1" applyBorder="1" applyAlignment="1" applyProtection="1">
      <alignment horizontal="center" vertical="center"/>
      <protection/>
    </xf>
    <xf numFmtId="171" fontId="25" fillId="36" borderId="13" xfId="63" applyNumberFormat="1" applyFont="1" applyFill="1" applyBorder="1" applyAlignment="1" applyProtection="1">
      <alignment vertical="center"/>
      <protection/>
    </xf>
    <xf numFmtId="49" fontId="25" fillId="46" borderId="13" xfId="0" applyNumberFormat="1" applyFont="1" applyFill="1" applyBorder="1" applyAlignment="1" applyProtection="1">
      <alignment horizontal="center" vertical="center" wrapText="1"/>
      <protection/>
    </xf>
    <xf numFmtId="0" fontId="25" fillId="46" borderId="13" xfId="0" applyFont="1" applyFill="1" applyBorder="1" applyAlignment="1" applyProtection="1">
      <alignment horizontal="left" vertical="center" indent="2"/>
      <protection/>
    </xf>
    <xf numFmtId="49" fontId="25" fillId="46" borderId="13" xfId="0" applyNumberFormat="1" applyFont="1" applyFill="1" applyBorder="1" applyAlignment="1" applyProtection="1">
      <alignment horizontal="center" vertical="center"/>
      <protection/>
    </xf>
    <xf numFmtId="0" fontId="24" fillId="51" borderId="13" xfId="0" applyFont="1" applyFill="1" applyBorder="1" applyAlignment="1" applyProtection="1">
      <alignment horizontal="left" vertical="center" wrapText="1" indent="1"/>
      <protection/>
    </xf>
    <xf numFmtId="49" fontId="25" fillId="51" borderId="13" xfId="0" applyNumberFormat="1" applyFont="1" applyFill="1" applyBorder="1" applyAlignment="1" applyProtection="1">
      <alignment horizontal="center" vertical="center"/>
      <protection/>
    </xf>
    <xf numFmtId="49" fontId="24" fillId="46" borderId="13" xfId="0" applyNumberFormat="1" applyFont="1" applyFill="1" applyBorder="1" applyAlignment="1" applyProtection="1">
      <alignment horizontal="left" vertical="center"/>
      <protection/>
    </xf>
    <xf numFmtId="49" fontId="24" fillId="48" borderId="13" xfId="0" applyNumberFormat="1" applyFont="1" applyFill="1" applyBorder="1" applyAlignment="1" applyProtection="1">
      <alignment horizontal="left" vertical="center" indent="1"/>
      <protection/>
    </xf>
    <xf numFmtId="49" fontId="25" fillId="48" borderId="13" xfId="0" applyNumberFormat="1" applyFont="1" applyFill="1" applyBorder="1" applyAlignment="1" applyProtection="1">
      <alignment horizontal="center" vertical="center" wrapText="1"/>
      <protection/>
    </xf>
    <xf numFmtId="0" fontId="0" fillId="0" borderId="15" xfId="0" applyFont="1" applyBorder="1" applyAlignment="1">
      <alignment vertical="center"/>
    </xf>
    <xf numFmtId="0" fontId="11" fillId="0" borderId="12" xfId="0" applyFont="1" applyBorder="1" applyAlignment="1">
      <alignment horizontal="center" vertical="center"/>
    </xf>
    <xf numFmtId="171" fontId="0" fillId="0" borderId="12" xfId="0" applyNumberFormat="1" applyFont="1" applyFill="1" applyBorder="1" applyAlignment="1">
      <alignment vertical="center"/>
    </xf>
    <xf numFmtId="171" fontId="0" fillId="0" borderId="12" xfId="0" applyNumberFormat="1" applyFont="1" applyBorder="1" applyAlignment="1">
      <alignment vertical="center"/>
    </xf>
    <xf numFmtId="171" fontId="0" fillId="0" borderId="20" xfId="0" applyNumberFormat="1" applyFont="1" applyBorder="1" applyAlignment="1">
      <alignment vertical="center"/>
    </xf>
    <xf numFmtId="0" fontId="42" fillId="0" borderId="12" xfId="0" applyFont="1" applyBorder="1" applyAlignment="1">
      <alignment wrapText="1"/>
    </xf>
    <xf numFmtId="0" fontId="43" fillId="0" borderId="20" xfId="0" applyFont="1" applyBorder="1" applyAlignment="1">
      <alignment wrapText="1"/>
    </xf>
    <xf numFmtId="0" fontId="61" fillId="37" borderId="14" xfId="0" applyFont="1" applyFill="1" applyBorder="1" applyAlignment="1">
      <alignment horizontal="left" wrapText="1"/>
    </xf>
    <xf numFmtId="0" fontId="61" fillId="37" borderId="13" xfId="0" applyFont="1" applyFill="1" applyBorder="1" applyAlignment="1">
      <alignment wrapText="1"/>
    </xf>
    <xf numFmtId="0" fontId="18" fillId="0" borderId="0" xfId="0" applyFont="1" applyBorder="1" applyAlignment="1">
      <alignment/>
    </xf>
    <xf numFmtId="0" fontId="18" fillId="0" borderId="0" xfId="0" applyFont="1" applyAlignment="1">
      <alignment/>
    </xf>
    <xf numFmtId="0" fontId="61" fillId="37" borderId="13" xfId="0" applyFont="1" applyFill="1" applyBorder="1" applyAlignment="1">
      <alignment horizontal="right" wrapText="1"/>
    </xf>
    <xf numFmtId="0" fontId="36" fillId="0" borderId="13" xfId="0" applyFont="1" applyFill="1" applyBorder="1" applyAlignment="1">
      <alignment horizontal="center"/>
    </xf>
    <xf numFmtId="171" fontId="36" fillId="0" borderId="13" xfId="63" applyFont="1" applyFill="1" applyBorder="1" applyAlignment="1">
      <alignment/>
    </xf>
    <xf numFmtId="49" fontId="24" fillId="48" borderId="13" xfId="0" applyNumberFormat="1" applyFont="1" applyFill="1" applyBorder="1" applyAlignment="1" applyProtection="1">
      <alignment vertical="center"/>
      <protection/>
    </xf>
    <xf numFmtId="171" fontId="36" fillId="0" borderId="13" xfId="63" applyFont="1" applyFill="1" applyBorder="1" applyAlignment="1">
      <alignment horizontal="center" wrapText="1"/>
    </xf>
    <xf numFmtId="171" fontId="36" fillId="0" borderId="17" xfId="63" applyFont="1" applyFill="1" applyBorder="1" applyAlignment="1">
      <alignment horizontal="center" wrapText="1"/>
    </xf>
    <xf numFmtId="0" fontId="36" fillId="0" borderId="13" xfId="0" applyFont="1" applyBorder="1" applyAlignment="1">
      <alignment horizontal="center" wrapText="1"/>
    </xf>
    <xf numFmtId="171" fontId="36" fillId="52" borderId="13" xfId="63" applyFont="1" applyFill="1" applyBorder="1" applyAlignment="1">
      <alignment wrapText="1"/>
    </xf>
    <xf numFmtId="171" fontId="36" fillId="42" borderId="13" xfId="63" applyFont="1" applyFill="1" applyBorder="1" applyAlignment="1">
      <alignment wrapText="1"/>
    </xf>
    <xf numFmtId="171" fontId="36" fillId="42" borderId="22" xfId="63" applyFont="1" applyFill="1" applyBorder="1" applyAlignment="1">
      <alignment wrapText="1"/>
    </xf>
    <xf numFmtId="171" fontId="36" fillId="42" borderId="17" xfId="63" applyFont="1" applyFill="1" applyBorder="1" applyAlignment="1">
      <alignment wrapText="1"/>
    </xf>
    <xf numFmtId="171" fontId="36" fillId="42" borderId="23" xfId="63" applyFont="1" applyFill="1" applyBorder="1" applyAlignment="1">
      <alignment wrapText="1"/>
    </xf>
    <xf numFmtId="171" fontId="36" fillId="42" borderId="21" xfId="63" applyFont="1" applyFill="1" applyBorder="1" applyAlignment="1">
      <alignment wrapText="1"/>
    </xf>
    <xf numFmtId="171" fontId="36" fillId="42" borderId="15" xfId="63" applyFont="1" applyFill="1" applyBorder="1" applyAlignment="1">
      <alignment wrapText="1"/>
    </xf>
    <xf numFmtId="171" fontId="36" fillId="42" borderId="16" xfId="63" applyFont="1" applyFill="1" applyBorder="1" applyAlignment="1">
      <alignment wrapText="1"/>
    </xf>
    <xf numFmtId="171" fontId="36" fillId="52" borderId="13" xfId="63" applyFont="1" applyFill="1" applyBorder="1" applyAlignment="1">
      <alignment horizontal="center" wrapText="1"/>
    </xf>
    <xf numFmtId="0" fontId="36" fillId="37" borderId="13" xfId="0" applyFont="1" applyFill="1" applyBorder="1" applyAlignment="1">
      <alignment horizontal="center" vertical="center" textRotation="90" wrapText="1"/>
    </xf>
    <xf numFmtId="0" fontId="34" fillId="37" borderId="13" xfId="0" applyFont="1" applyFill="1" applyBorder="1" applyAlignment="1">
      <alignment horizontal="left" vertical="center" wrapText="1"/>
    </xf>
    <xf numFmtId="0" fontId="36" fillId="37" borderId="13" xfId="0" applyFont="1" applyFill="1" applyBorder="1" applyAlignment="1">
      <alignment horizontal="center"/>
    </xf>
    <xf numFmtId="171" fontId="36" fillId="37" borderId="13" xfId="63" applyFont="1" applyFill="1" applyBorder="1" applyAlignment="1">
      <alignment horizontal="center" wrapText="1"/>
    </xf>
    <xf numFmtId="0" fontId="36" fillId="37" borderId="13" xfId="0" applyFont="1" applyFill="1" applyBorder="1" applyAlignment="1">
      <alignment horizontal="center" vertical="center" wrapText="1"/>
    </xf>
    <xf numFmtId="171" fontId="36" fillId="43" borderId="14" xfId="63" applyFont="1" applyFill="1" applyBorder="1" applyAlignment="1">
      <alignment wrapText="1"/>
    </xf>
    <xf numFmtId="0" fontId="34" fillId="37" borderId="13" xfId="0" applyFont="1" applyFill="1" applyBorder="1" applyAlignment="1">
      <alignment horizontal="center" wrapText="1"/>
    </xf>
    <xf numFmtId="0" fontId="29" fillId="37" borderId="13" xfId="0" applyFont="1" applyFill="1" applyBorder="1" applyAlignment="1" applyProtection="1">
      <alignment horizontal="center" vertical="center" wrapText="1"/>
      <protection/>
    </xf>
    <xf numFmtId="0" fontId="30" fillId="0" borderId="13" xfId="0" applyFont="1" applyFill="1" applyBorder="1" applyAlignment="1">
      <alignment horizontal="center" vertical="center" wrapText="1"/>
    </xf>
    <xf numFmtId="178" fontId="17" fillId="0" borderId="21" xfId="0" applyNumberFormat="1" applyFont="1" applyFill="1" applyBorder="1" applyAlignment="1" applyProtection="1">
      <alignment horizontal="center" vertical="center"/>
      <protection/>
    </xf>
    <xf numFmtId="0" fontId="39" fillId="0" borderId="23" xfId="0" applyFont="1" applyFill="1" applyBorder="1" applyAlignment="1">
      <alignment horizontal="center" wrapText="1"/>
    </xf>
    <xf numFmtId="0" fontId="39" fillId="0" borderId="0" xfId="0" applyFont="1" applyFill="1" applyBorder="1" applyAlignment="1">
      <alignment horizontal="center" wrapText="1"/>
    </xf>
    <xf numFmtId="0" fontId="39" fillId="0" borderId="19" xfId="0" applyFont="1" applyFill="1" applyBorder="1" applyAlignment="1">
      <alignment horizontal="center" wrapText="1"/>
    </xf>
    <xf numFmtId="171" fontId="30" fillId="0" borderId="16" xfId="63" applyFont="1" applyFill="1" applyBorder="1" applyAlignment="1">
      <alignment horizontal="left" wrapText="1"/>
    </xf>
    <xf numFmtId="0" fontId="30" fillId="33" borderId="16" xfId="0" applyFont="1" applyFill="1" applyBorder="1" applyAlignment="1">
      <alignment wrapText="1"/>
    </xf>
    <xf numFmtId="0" fontId="29" fillId="0" borderId="16" xfId="0" applyFont="1" applyFill="1" applyBorder="1" applyAlignment="1">
      <alignment horizontal="center" wrapText="1"/>
    </xf>
    <xf numFmtId="171" fontId="29" fillId="0" borderId="13" xfId="63" applyFont="1" applyFill="1" applyBorder="1" applyAlignment="1">
      <alignment horizontal="center" wrapText="1"/>
    </xf>
    <xf numFmtId="171" fontId="30" fillId="0" borderId="13" xfId="63" applyFont="1" applyFill="1" applyBorder="1" applyAlignment="1">
      <alignment horizontal="center" wrapText="1"/>
    </xf>
    <xf numFmtId="0" fontId="30" fillId="0" borderId="16" xfId="0" applyFont="1" applyFill="1" applyBorder="1" applyAlignment="1">
      <alignment wrapText="1"/>
    </xf>
    <xf numFmtId="171" fontId="30" fillId="0" borderId="16" xfId="63" applyFont="1" applyFill="1" applyBorder="1" applyAlignment="1">
      <alignment wrapText="1"/>
    </xf>
    <xf numFmtId="0" fontId="32" fillId="37" borderId="17" xfId="0" applyFont="1" applyFill="1" applyBorder="1" applyAlignment="1">
      <alignment horizontal="left" wrapText="1"/>
    </xf>
    <xf numFmtId="0" fontId="0" fillId="0" borderId="14" xfId="0" applyFont="1" applyFill="1" applyBorder="1" applyAlignment="1">
      <alignment wrapText="1"/>
    </xf>
    <xf numFmtId="0" fontId="64" fillId="0" borderId="13" xfId="0" applyFont="1" applyFill="1" applyBorder="1" applyAlignment="1">
      <alignment horizontal="right" wrapText="1"/>
    </xf>
    <xf numFmtId="0" fontId="65" fillId="0" borderId="13" xfId="0" applyFont="1" applyFill="1" applyBorder="1" applyAlignment="1">
      <alignment horizontal="right" wrapText="1"/>
    </xf>
    <xf numFmtId="0" fontId="29" fillId="37" borderId="13" xfId="0" applyFont="1" applyFill="1" applyBorder="1" applyAlignment="1">
      <alignment horizontal="left" wrapText="1"/>
    </xf>
    <xf numFmtId="0" fontId="29" fillId="37" borderId="13" xfId="0" applyFont="1" applyFill="1" applyBorder="1" applyAlignment="1">
      <alignment horizontal="center" wrapText="1"/>
    </xf>
    <xf numFmtId="171" fontId="30" fillId="0" borderId="13" xfId="63" applyFont="1" applyFill="1" applyBorder="1" applyAlignment="1">
      <alignment horizontal="right" wrapText="1"/>
    </xf>
    <xf numFmtId="0" fontId="11" fillId="0" borderId="0" xfId="0" applyFont="1" applyFill="1" applyAlignment="1">
      <alignment horizontal="center" vertical="center"/>
    </xf>
    <xf numFmtId="0" fontId="59" fillId="37" borderId="13" xfId="0" applyFont="1" applyFill="1" applyBorder="1" applyAlignment="1">
      <alignment horizontal="right" wrapText="1"/>
    </xf>
    <xf numFmtId="0" fontId="40" fillId="37" borderId="20" xfId="0" applyFont="1" applyFill="1" applyBorder="1" applyAlignment="1">
      <alignment horizontal="center" wrapText="1"/>
    </xf>
    <xf numFmtId="0" fontId="61" fillId="37" borderId="17" xfId="0" applyFont="1" applyFill="1" applyBorder="1" applyAlignment="1">
      <alignment horizontal="left" wrapText="1"/>
    </xf>
    <xf numFmtId="0" fontId="31" fillId="37" borderId="17" xfId="0" applyFont="1" applyFill="1" applyBorder="1" applyAlignment="1">
      <alignment horizontal="right" wrapText="1"/>
    </xf>
    <xf numFmtId="0" fontId="53" fillId="37" borderId="13" xfId="0" applyFont="1" applyFill="1" applyBorder="1" applyAlignment="1">
      <alignment wrapText="1"/>
    </xf>
    <xf numFmtId="0" fontId="61" fillId="37" borderId="13" xfId="0" applyFont="1" applyFill="1" applyBorder="1" applyAlignment="1">
      <alignment horizontal="left" wrapText="1"/>
    </xf>
    <xf numFmtId="0" fontId="27" fillId="0" borderId="20" xfId="0" applyFont="1" applyBorder="1" applyAlignment="1">
      <alignment wrapText="1"/>
    </xf>
    <xf numFmtId="0" fontId="35" fillId="0" borderId="0" xfId="0" applyFont="1" applyFill="1" applyBorder="1" applyAlignment="1">
      <alignment wrapText="1"/>
    </xf>
    <xf numFmtId="0" fontId="18" fillId="0" borderId="0" xfId="0" applyFont="1" applyFill="1" applyBorder="1" applyAlignment="1">
      <alignment/>
    </xf>
    <xf numFmtId="0" fontId="43" fillId="0" borderId="0" xfId="0" applyFont="1" applyFill="1" applyBorder="1" applyAlignment="1">
      <alignment wrapText="1"/>
    </xf>
    <xf numFmtId="0" fontId="66" fillId="0" borderId="0" xfId="0" applyFont="1" applyAlignment="1">
      <alignment vertical="center"/>
    </xf>
    <xf numFmtId="0" fontId="66" fillId="0" borderId="0" xfId="0" applyFont="1" applyFill="1" applyAlignment="1">
      <alignment vertical="center"/>
    </xf>
    <xf numFmtId="0" fontId="66" fillId="37" borderId="17" xfId="0" applyFont="1" applyFill="1" applyBorder="1" applyAlignment="1">
      <alignment horizontal="right" wrapText="1"/>
    </xf>
    <xf numFmtId="0" fontId="37" fillId="36" borderId="13" xfId="0" applyFont="1" applyFill="1" applyBorder="1" applyAlignment="1" applyProtection="1">
      <alignment horizontal="center" vertical="center"/>
      <protection/>
    </xf>
    <xf numFmtId="0" fontId="14" fillId="43" borderId="13" xfId="0" applyFont="1" applyFill="1" applyBorder="1" applyAlignment="1" applyProtection="1">
      <alignment horizontal="left" vertical="center" indent="1"/>
      <protection/>
    </xf>
    <xf numFmtId="0" fontId="41" fillId="43" borderId="13" xfId="0" applyFont="1" applyFill="1" applyBorder="1" applyAlignment="1" applyProtection="1">
      <alignment horizontal="center" vertical="center"/>
      <protection/>
    </xf>
    <xf numFmtId="171" fontId="30" fillId="43" borderId="13" xfId="63" applyNumberFormat="1" applyFont="1" applyFill="1" applyBorder="1" applyAlignment="1" applyProtection="1">
      <alignment vertical="center"/>
      <protection locked="0"/>
    </xf>
    <xf numFmtId="0" fontId="24" fillId="33" borderId="13" xfId="0" applyFont="1" applyFill="1" applyBorder="1" applyAlignment="1" applyProtection="1">
      <alignment horizontal="center" vertical="center"/>
      <protection/>
    </xf>
    <xf numFmtId="0" fontId="67" fillId="37" borderId="13" xfId="0" applyFont="1" applyFill="1" applyBorder="1" applyAlignment="1">
      <alignment horizontal="left" wrapText="1"/>
    </xf>
    <xf numFmtId="171" fontId="22" fillId="41" borderId="14" xfId="63" applyFont="1" applyFill="1" applyBorder="1" applyAlignment="1">
      <alignment horizontal="center" vertical="center" wrapText="1"/>
    </xf>
    <xf numFmtId="0" fontId="36" fillId="0" borderId="13" xfId="0" applyFont="1" applyFill="1" applyBorder="1" applyAlignment="1">
      <alignment/>
    </xf>
    <xf numFmtId="176" fontId="36" fillId="0" borderId="13" xfId="63" applyNumberFormat="1" applyFont="1" applyFill="1" applyBorder="1" applyAlignment="1">
      <alignment/>
    </xf>
    <xf numFmtId="171" fontId="22" fillId="41" borderId="13" xfId="63" applyFont="1" applyFill="1" applyBorder="1" applyAlignment="1">
      <alignment horizontal="center" vertical="center" wrapText="1"/>
    </xf>
    <xf numFmtId="0" fontId="36" fillId="34" borderId="13" xfId="0" applyFont="1" applyFill="1" applyBorder="1" applyAlignment="1">
      <alignment/>
    </xf>
    <xf numFmtId="0" fontId="36" fillId="34" borderId="13" xfId="0" applyFont="1" applyFill="1" applyBorder="1" applyAlignment="1">
      <alignment horizontal="center"/>
    </xf>
    <xf numFmtId="171" fontId="36" fillId="34" borderId="13" xfId="63" applyFont="1" applyFill="1" applyBorder="1" applyAlignment="1">
      <alignment/>
    </xf>
    <xf numFmtId="177" fontId="36" fillId="34" borderId="13" xfId="63" applyNumberFormat="1" applyFont="1" applyFill="1" applyBorder="1" applyAlignment="1">
      <alignment/>
    </xf>
    <xf numFmtId="171" fontId="36" fillId="34" borderId="13" xfId="63" applyNumberFormat="1" applyFont="1" applyFill="1" applyBorder="1" applyAlignment="1">
      <alignment/>
    </xf>
    <xf numFmtId="176" fontId="36" fillId="34" borderId="13" xfId="63" applyNumberFormat="1" applyFont="1" applyFill="1" applyBorder="1" applyAlignment="1">
      <alignment/>
    </xf>
    <xf numFmtId="0" fontId="36" fillId="52" borderId="13" xfId="0" applyFont="1" applyFill="1" applyBorder="1" applyAlignment="1">
      <alignment/>
    </xf>
    <xf numFmtId="0" fontId="36" fillId="52" borderId="13" xfId="0" applyFont="1" applyFill="1" applyBorder="1" applyAlignment="1">
      <alignment horizontal="center"/>
    </xf>
    <xf numFmtId="171" fontId="36" fillId="52" borderId="13" xfId="63" applyFont="1" applyFill="1" applyBorder="1" applyAlignment="1">
      <alignment/>
    </xf>
    <xf numFmtId="176" fontId="36" fillId="52" borderId="13" xfId="63" applyNumberFormat="1" applyFont="1" applyFill="1" applyBorder="1" applyAlignment="1">
      <alignment/>
    </xf>
    <xf numFmtId="0" fontId="36" fillId="38" borderId="13" xfId="0" applyFont="1" applyFill="1" applyBorder="1" applyAlignment="1">
      <alignment/>
    </xf>
    <xf numFmtId="171" fontId="36" fillId="38" borderId="13" xfId="63" applyFont="1" applyFill="1" applyBorder="1" applyAlignment="1">
      <alignment/>
    </xf>
    <xf numFmtId="0" fontId="36" fillId="53" borderId="13" xfId="0" applyFont="1" applyFill="1" applyBorder="1" applyAlignment="1">
      <alignment/>
    </xf>
    <xf numFmtId="171" fontId="36" fillId="53" borderId="13" xfId="63" applyFont="1" applyFill="1" applyBorder="1" applyAlignment="1">
      <alignment/>
    </xf>
    <xf numFmtId="176" fontId="36" fillId="53" borderId="13" xfId="63" applyNumberFormat="1" applyFont="1" applyFill="1" applyBorder="1" applyAlignment="1">
      <alignment/>
    </xf>
    <xf numFmtId="0" fontId="36" fillId="45" borderId="13" xfId="0" applyFont="1" applyFill="1" applyBorder="1" applyAlignment="1">
      <alignment/>
    </xf>
    <xf numFmtId="171" fontId="36" fillId="45" borderId="13" xfId="63" applyFont="1" applyFill="1" applyBorder="1" applyAlignment="1">
      <alignment/>
    </xf>
    <xf numFmtId="176" fontId="36" fillId="45" borderId="13" xfId="63" applyNumberFormat="1" applyFont="1" applyFill="1" applyBorder="1" applyAlignment="1">
      <alignment/>
    </xf>
    <xf numFmtId="0" fontId="18" fillId="0" borderId="0" xfId="0" applyFont="1" applyFill="1" applyAlignment="1">
      <alignment/>
    </xf>
    <xf numFmtId="0" fontId="30" fillId="0" borderId="0" xfId="0" applyFont="1" applyFill="1" applyAlignment="1">
      <alignment horizontal="left"/>
    </xf>
    <xf numFmtId="0" fontId="30" fillId="34" borderId="13" xfId="0" applyFont="1" applyFill="1" applyBorder="1" applyAlignment="1">
      <alignment wrapText="1"/>
    </xf>
    <xf numFmtId="177" fontId="36" fillId="52" borderId="13" xfId="63" applyNumberFormat="1" applyFont="1" applyFill="1" applyBorder="1" applyAlignment="1">
      <alignment/>
    </xf>
    <xf numFmtId="171" fontId="36" fillId="52" borderId="13" xfId="63" applyNumberFormat="1" applyFont="1" applyFill="1" applyBorder="1" applyAlignment="1">
      <alignment/>
    </xf>
    <xf numFmtId="0" fontId="36" fillId="38" borderId="13" xfId="0" applyFont="1" applyFill="1" applyBorder="1" applyAlignment="1">
      <alignment horizontal="center"/>
    </xf>
    <xf numFmtId="177" fontId="36" fillId="38" borderId="13" xfId="63" applyNumberFormat="1" applyFont="1" applyFill="1" applyBorder="1" applyAlignment="1">
      <alignment/>
    </xf>
    <xf numFmtId="171" fontId="36" fillId="38" borderId="13" xfId="63" applyNumberFormat="1" applyFont="1" applyFill="1" applyBorder="1" applyAlignment="1">
      <alignment/>
    </xf>
    <xf numFmtId="0" fontId="36" fillId="53" borderId="13" xfId="0" applyFont="1" applyFill="1" applyBorder="1" applyAlignment="1">
      <alignment horizontal="center"/>
    </xf>
    <xf numFmtId="177" fontId="36" fillId="53" borderId="13" xfId="63" applyNumberFormat="1" applyFont="1" applyFill="1" applyBorder="1" applyAlignment="1">
      <alignment/>
    </xf>
    <xf numFmtId="171" fontId="36" fillId="53" borderId="13" xfId="63" applyNumberFormat="1" applyFont="1" applyFill="1" applyBorder="1" applyAlignment="1">
      <alignment/>
    </xf>
    <xf numFmtId="0" fontId="36" fillId="45" borderId="13" xfId="0" applyFont="1" applyFill="1" applyBorder="1" applyAlignment="1">
      <alignment horizontal="center"/>
    </xf>
    <xf numFmtId="177" fontId="36" fillId="45" borderId="13" xfId="63" applyNumberFormat="1" applyFont="1" applyFill="1" applyBorder="1" applyAlignment="1">
      <alignment/>
    </xf>
    <xf numFmtId="171" fontId="36" fillId="45" borderId="13" xfId="63" applyNumberFormat="1" applyFont="1" applyFill="1" applyBorder="1" applyAlignment="1">
      <alignment/>
    </xf>
    <xf numFmtId="177" fontId="36" fillId="0" borderId="13" xfId="63" applyNumberFormat="1" applyFont="1" applyFill="1" applyBorder="1" applyAlignment="1">
      <alignment/>
    </xf>
    <xf numFmtId="171" fontId="36" fillId="0" borderId="13" xfId="63" applyNumberFormat="1" applyFont="1" applyFill="1" applyBorder="1" applyAlignment="1">
      <alignment/>
    </xf>
    <xf numFmtId="0" fontId="67" fillId="37" borderId="13" xfId="0" applyFont="1" applyFill="1" applyBorder="1" applyAlignment="1">
      <alignment wrapText="1"/>
    </xf>
    <xf numFmtId="0" fontId="0" fillId="0" borderId="12" xfId="0" applyFont="1" applyFill="1" applyBorder="1" applyAlignment="1">
      <alignment wrapText="1"/>
    </xf>
    <xf numFmtId="0" fontId="0" fillId="0" borderId="20" xfId="0" applyFont="1" applyFill="1" applyBorder="1" applyAlignment="1">
      <alignment wrapText="1"/>
    </xf>
    <xf numFmtId="0" fontId="22" fillId="41" borderId="13" xfId="0" applyFont="1" applyFill="1" applyBorder="1" applyAlignment="1">
      <alignment vertical="center"/>
    </xf>
    <xf numFmtId="0" fontId="22" fillId="41" borderId="13" xfId="0" applyFont="1" applyFill="1" applyBorder="1" applyAlignment="1">
      <alignment horizontal="center" vertical="center" wrapText="1"/>
    </xf>
    <xf numFmtId="171" fontId="29" fillId="41" borderId="13" xfId="63" applyFont="1" applyFill="1" applyBorder="1" applyAlignment="1">
      <alignment horizontal="center" vertical="center"/>
    </xf>
    <xf numFmtId="171" fontId="36" fillId="40" borderId="13" xfId="63" applyFont="1" applyFill="1" applyBorder="1" applyAlignment="1">
      <alignment/>
    </xf>
    <xf numFmtId="176" fontId="36" fillId="40" borderId="13" xfId="63" applyNumberFormat="1" applyFont="1" applyFill="1" applyBorder="1" applyAlignment="1">
      <alignment/>
    </xf>
    <xf numFmtId="0" fontId="36" fillId="42" borderId="13" xfId="0" applyFont="1" applyFill="1" applyBorder="1" applyAlignment="1">
      <alignment/>
    </xf>
    <xf numFmtId="171" fontId="36" fillId="42" borderId="13" xfId="63" applyFont="1" applyFill="1" applyBorder="1" applyAlignment="1">
      <alignment/>
    </xf>
    <xf numFmtId="176" fontId="36" fillId="42" borderId="13" xfId="63" applyNumberFormat="1" applyFont="1" applyFill="1" applyBorder="1" applyAlignment="1">
      <alignment/>
    </xf>
    <xf numFmtId="0" fontId="16" fillId="33" borderId="13" xfId="0" applyFont="1" applyFill="1" applyBorder="1" applyAlignment="1">
      <alignment horizontal="center" vertical="center" wrapText="1"/>
    </xf>
    <xf numFmtId="0" fontId="11" fillId="37" borderId="13" xfId="0" applyFont="1" applyFill="1" applyBorder="1" applyAlignment="1">
      <alignment horizontal="center" vertical="center" textRotation="90"/>
    </xf>
    <xf numFmtId="0" fontId="22" fillId="37" borderId="13" xfId="0" applyFont="1" applyFill="1" applyBorder="1" applyAlignment="1">
      <alignment horizontal="center" vertical="center" textRotation="90" wrapText="1"/>
    </xf>
    <xf numFmtId="0" fontId="16" fillId="37" borderId="13" xfId="0" applyFont="1" applyFill="1" applyBorder="1" applyAlignment="1">
      <alignment horizontal="center" vertical="center" wrapText="1"/>
    </xf>
    <xf numFmtId="0" fontId="11" fillId="37" borderId="16" xfId="0" applyFont="1" applyFill="1" applyBorder="1" applyAlignment="1" applyProtection="1">
      <alignment horizontal="center"/>
      <protection/>
    </xf>
    <xf numFmtId="204" fontId="36" fillId="0" borderId="13" xfId="63" applyNumberFormat="1" applyFont="1" applyFill="1" applyBorder="1" applyAlignment="1">
      <alignment vertical="center"/>
    </xf>
    <xf numFmtId="171" fontId="36" fillId="0" borderId="13" xfId="63" applyFont="1" applyBorder="1" applyAlignment="1">
      <alignment vertical="center"/>
    </xf>
    <xf numFmtId="0" fontId="36" fillId="0" borderId="13" xfId="0" applyFont="1" applyFill="1" applyBorder="1" applyAlignment="1">
      <alignment horizontal="center" vertical="center"/>
    </xf>
    <xf numFmtId="0" fontId="41" fillId="36" borderId="13" xfId="0" applyFont="1" applyFill="1" applyBorder="1" applyAlignment="1" applyProtection="1">
      <alignment horizontal="center" vertical="center" wrapText="1"/>
      <protection/>
    </xf>
    <xf numFmtId="0" fontId="36" fillId="36" borderId="13" xfId="0" applyFont="1" applyFill="1" applyBorder="1" applyAlignment="1">
      <alignment horizontal="center" vertical="center" wrapText="1"/>
    </xf>
    <xf numFmtId="0" fontId="19" fillId="0" borderId="13" xfId="0" applyFont="1" applyFill="1" applyBorder="1" applyAlignment="1">
      <alignment horizontal="center" wrapText="1"/>
    </xf>
    <xf numFmtId="204" fontId="36" fillId="43" borderId="13" xfId="63" applyNumberFormat="1" applyFont="1" applyFill="1" applyBorder="1" applyAlignment="1">
      <alignment vertical="center"/>
    </xf>
    <xf numFmtId="171" fontId="36" fillId="43" borderId="13" xfId="63" applyFont="1" applyFill="1" applyBorder="1" applyAlignment="1">
      <alignment vertical="center"/>
    </xf>
    <xf numFmtId="204" fontId="36" fillId="52" borderId="13" xfId="63" applyNumberFormat="1" applyFont="1" applyFill="1" applyBorder="1" applyAlignment="1">
      <alignment vertical="center"/>
    </xf>
    <xf numFmtId="204" fontId="36" fillId="54" borderId="13" xfId="63" applyNumberFormat="1" applyFont="1" applyFill="1" applyBorder="1" applyAlignment="1">
      <alignment vertical="center"/>
    </xf>
    <xf numFmtId="0" fontId="19" fillId="0" borderId="13" xfId="0" applyFont="1" applyFill="1" applyBorder="1" applyAlignment="1">
      <alignment horizontal="center" vertical="center" wrapText="1"/>
    </xf>
    <xf numFmtId="0" fontId="18" fillId="0" borderId="0" xfId="0" applyFont="1" applyFill="1" applyAlignment="1">
      <alignment vertical="center"/>
    </xf>
    <xf numFmtId="0" fontId="30" fillId="0" borderId="0" xfId="0" applyFont="1" applyFill="1" applyAlignment="1">
      <alignment vertical="center"/>
    </xf>
    <xf numFmtId="0" fontId="11" fillId="0" borderId="0" xfId="0" applyFont="1" applyFill="1" applyAlignment="1">
      <alignment vertical="center"/>
    </xf>
    <xf numFmtId="0" fontId="29" fillId="0" borderId="0" xfId="0" applyFont="1" applyFill="1" applyAlignment="1">
      <alignment vertical="center"/>
    </xf>
    <xf numFmtId="0" fontId="60" fillId="0" borderId="0" xfId="0" applyFont="1" applyFill="1" applyAlignment="1">
      <alignment vertical="center"/>
    </xf>
    <xf numFmtId="171" fontId="30" fillId="0" borderId="13" xfId="0" applyNumberFormat="1" applyFont="1" applyBorder="1" applyAlignment="1">
      <alignment vertical="center"/>
    </xf>
    <xf numFmtId="10" fontId="30" fillId="0" borderId="13" xfId="52" applyNumberFormat="1" applyFont="1" applyBorder="1" applyAlignment="1">
      <alignment vertical="center"/>
    </xf>
    <xf numFmtId="10" fontId="30" fillId="0" borderId="0" xfId="52" applyNumberFormat="1" applyFont="1" applyBorder="1" applyAlignment="1">
      <alignment vertical="center"/>
    </xf>
    <xf numFmtId="0" fontId="29" fillId="0" borderId="13" xfId="0" applyFont="1" applyBorder="1" applyAlignment="1">
      <alignment vertical="center"/>
    </xf>
    <xf numFmtId="10" fontId="30" fillId="0" borderId="0" xfId="52" applyNumberFormat="1" applyFont="1" applyFill="1" applyBorder="1" applyAlignment="1">
      <alignment vertical="center"/>
    </xf>
    <xf numFmtId="10" fontId="30" fillId="37" borderId="13" xfId="52" applyNumberFormat="1" applyFont="1" applyFill="1" applyBorder="1" applyAlignment="1">
      <alignment vertical="center"/>
    </xf>
    <xf numFmtId="171" fontId="30" fillId="52" borderId="13" xfId="63" applyFont="1" applyFill="1" applyBorder="1" applyAlignment="1">
      <alignment vertical="center"/>
    </xf>
    <xf numFmtId="171" fontId="36" fillId="38" borderId="13" xfId="63" applyFont="1" applyFill="1" applyBorder="1" applyAlignment="1">
      <alignment vertical="center"/>
    </xf>
    <xf numFmtId="171" fontId="36" fillId="37" borderId="13" xfId="63" applyNumberFormat="1" applyFont="1" applyFill="1" applyBorder="1" applyAlignment="1" applyProtection="1">
      <alignment vertical="center"/>
      <protection/>
    </xf>
    <xf numFmtId="177" fontId="41" fillId="0" borderId="13" xfId="63" applyNumberFormat="1" applyFont="1" applyFill="1" applyBorder="1" applyAlignment="1">
      <alignment horizontal="center" vertical="center" wrapText="1"/>
    </xf>
    <xf numFmtId="177" fontId="14" fillId="0" borderId="13" xfId="63" applyNumberFormat="1" applyFont="1" applyFill="1" applyBorder="1" applyAlignment="1">
      <alignment horizontal="center" vertical="center"/>
    </xf>
    <xf numFmtId="207" fontId="14" fillId="0" borderId="13" xfId="0" applyNumberFormat="1" applyFont="1" applyFill="1" applyBorder="1" applyAlignment="1">
      <alignment horizontal="center" vertical="center"/>
    </xf>
    <xf numFmtId="0" fontId="12" fillId="0" borderId="0" xfId="0" applyFont="1" applyFill="1" applyAlignment="1">
      <alignment/>
    </xf>
    <xf numFmtId="0" fontId="24" fillId="37" borderId="13" xfId="0" applyFont="1" applyFill="1" applyBorder="1" applyAlignment="1" applyProtection="1">
      <alignment horizontal="center" vertical="center" wrapText="1"/>
      <protection/>
    </xf>
    <xf numFmtId="0" fontId="73" fillId="0" borderId="0" xfId="0" applyFont="1" applyFill="1" applyAlignment="1">
      <alignment/>
    </xf>
    <xf numFmtId="0" fontId="36" fillId="0" borderId="13" xfId="63" applyNumberFormat="1" applyFont="1" applyFill="1" applyBorder="1" applyAlignment="1" applyProtection="1">
      <alignment horizontal="center" vertical="center" wrapText="1"/>
      <protection/>
    </xf>
    <xf numFmtId="0" fontId="27" fillId="0" borderId="0" xfId="0" applyFont="1" applyFill="1" applyAlignment="1">
      <alignment wrapText="1"/>
    </xf>
    <xf numFmtId="0" fontId="13" fillId="0" borderId="0" xfId="0" applyFont="1" applyFill="1" applyAlignment="1">
      <alignment/>
    </xf>
    <xf numFmtId="0" fontId="23" fillId="0" borderId="0" xfId="0" applyFont="1" applyFill="1" applyAlignment="1">
      <alignment wrapText="1"/>
    </xf>
    <xf numFmtId="0" fontId="19" fillId="0" borderId="13" xfId="0" applyFont="1" applyFill="1" applyBorder="1" applyAlignment="1">
      <alignment wrapText="1"/>
    </xf>
    <xf numFmtId="171" fontId="36" fillId="0" borderId="13" xfId="63" applyFont="1" applyFill="1" applyBorder="1" applyAlignment="1">
      <alignment vertical="center" wrapText="1"/>
    </xf>
    <xf numFmtId="3" fontId="75" fillId="37" borderId="18" xfId="0" applyNumberFormat="1" applyFont="1" applyFill="1" applyBorder="1" applyAlignment="1">
      <alignment horizontal="left" vertical="center" wrapText="1"/>
    </xf>
    <xf numFmtId="3" fontId="74" fillId="37" borderId="18" xfId="0" applyNumberFormat="1" applyFont="1" applyFill="1" applyBorder="1" applyAlignment="1">
      <alignment horizontal="left" vertical="center" wrapText="1"/>
    </xf>
    <xf numFmtId="3" fontId="75" fillId="0" borderId="18" xfId="0" applyNumberFormat="1" applyFont="1" applyFill="1" applyBorder="1" applyAlignment="1">
      <alignment horizontal="left" vertical="center" wrapText="1"/>
    </xf>
    <xf numFmtId="3" fontId="76" fillId="37" borderId="13" xfId="0" applyNumberFormat="1" applyFont="1" applyFill="1" applyBorder="1" applyAlignment="1">
      <alignment/>
    </xf>
    <xf numFmtId="3" fontId="76" fillId="0" borderId="0" xfId="0" applyNumberFormat="1" applyFont="1" applyBorder="1" applyAlignment="1">
      <alignment horizontal="center"/>
    </xf>
    <xf numFmtId="0" fontId="79" fillId="0" borderId="0" xfId="0" applyFont="1" applyAlignment="1">
      <alignment/>
    </xf>
    <xf numFmtId="3" fontId="80" fillId="0" borderId="24" xfId="0" applyNumberFormat="1" applyFont="1" applyBorder="1" applyAlignment="1">
      <alignment horizontal="center" vertical="center"/>
    </xf>
    <xf numFmtId="3" fontId="81" fillId="0" borderId="25" xfId="0" applyNumberFormat="1" applyFont="1" applyFill="1" applyBorder="1" applyAlignment="1">
      <alignment horizontal="left" vertical="center" wrapText="1"/>
    </xf>
    <xf numFmtId="3" fontId="81" fillId="37" borderId="25" xfId="0" applyNumberFormat="1" applyFont="1" applyFill="1" applyBorder="1" applyAlignment="1">
      <alignment horizontal="center" vertical="center" wrapText="1"/>
    </xf>
    <xf numFmtId="49" fontId="74" fillId="37" borderId="26" xfId="0" applyNumberFormat="1" applyFont="1" applyFill="1" applyBorder="1" applyAlignment="1">
      <alignment horizontal="center" vertical="center"/>
    </xf>
    <xf numFmtId="3" fontId="76" fillId="0" borderId="13" xfId="0" applyNumberFormat="1" applyFont="1" applyBorder="1" applyAlignment="1">
      <alignment horizontal="left" vertical="center"/>
    </xf>
    <xf numFmtId="3" fontId="76" fillId="37" borderId="13" xfId="0" applyNumberFormat="1" applyFont="1" applyFill="1" applyBorder="1" applyAlignment="1">
      <alignment horizontal="center" vertical="center" wrapText="1"/>
    </xf>
    <xf numFmtId="3" fontId="77" fillId="55" borderId="13" xfId="0" applyNumberFormat="1" applyFont="1" applyFill="1" applyBorder="1" applyAlignment="1">
      <alignment horizontal="center" vertical="center"/>
    </xf>
    <xf numFmtId="3" fontId="78" fillId="37" borderId="26" xfId="0" applyNumberFormat="1" applyFont="1" applyFill="1" applyBorder="1" applyAlignment="1">
      <alignment horizontal="center" vertical="center"/>
    </xf>
    <xf numFmtId="3" fontId="76" fillId="0" borderId="13" xfId="0" applyNumberFormat="1" applyFont="1" applyFill="1" applyBorder="1" applyAlignment="1">
      <alignment horizontal="left" vertical="center" wrapText="1"/>
    </xf>
    <xf numFmtId="49" fontId="77" fillId="0" borderId="13" xfId="0" applyNumberFormat="1" applyFont="1" applyFill="1" applyBorder="1" applyAlignment="1">
      <alignment horizontal="right" vertical="top" wrapText="1"/>
    </xf>
    <xf numFmtId="3" fontId="78" fillId="37" borderId="27" xfId="0" applyNumberFormat="1" applyFont="1" applyFill="1" applyBorder="1" applyAlignment="1">
      <alignment horizontal="center" vertical="center"/>
    </xf>
    <xf numFmtId="3" fontId="76" fillId="0" borderId="28" xfId="0" applyNumberFormat="1" applyFont="1" applyBorder="1" applyAlignment="1">
      <alignment horizontal="left" vertical="center"/>
    </xf>
    <xf numFmtId="49" fontId="84" fillId="0" borderId="28" xfId="0" applyNumberFormat="1" applyFont="1" applyFill="1" applyBorder="1" applyAlignment="1">
      <alignment horizontal="right" vertical="top" wrapText="1"/>
    </xf>
    <xf numFmtId="3" fontId="76" fillId="37" borderId="28" xfId="0" applyNumberFormat="1" applyFont="1" applyFill="1" applyBorder="1" applyAlignment="1">
      <alignment horizontal="center" vertical="center" wrapText="1"/>
    </xf>
    <xf numFmtId="3" fontId="76" fillId="37" borderId="28" xfId="0" applyNumberFormat="1" applyFont="1" applyFill="1" applyBorder="1" applyAlignment="1">
      <alignment/>
    </xf>
    <xf numFmtId="3" fontId="77" fillId="0" borderId="28" xfId="0" applyNumberFormat="1" applyFont="1" applyFill="1" applyBorder="1" applyAlignment="1">
      <alignment/>
    </xf>
    <xf numFmtId="3" fontId="80" fillId="0" borderId="24" xfId="0" applyNumberFormat="1" applyFont="1" applyFill="1" applyBorder="1" applyAlignment="1">
      <alignment horizontal="center" vertical="center"/>
    </xf>
    <xf numFmtId="0" fontId="19" fillId="0" borderId="13" xfId="0" applyFont="1" applyBorder="1" applyAlignment="1">
      <alignment/>
    </xf>
    <xf numFmtId="3" fontId="78" fillId="37" borderId="29" xfId="0" applyNumberFormat="1" applyFont="1" applyFill="1" applyBorder="1" applyAlignment="1">
      <alignment horizontal="center" vertical="center"/>
    </xf>
    <xf numFmtId="3" fontId="76" fillId="0" borderId="17" xfId="0" applyNumberFormat="1" applyFont="1" applyBorder="1" applyAlignment="1">
      <alignment horizontal="left" vertical="center"/>
    </xf>
    <xf numFmtId="49" fontId="84" fillId="0" borderId="17" xfId="0" applyNumberFormat="1" applyFont="1" applyFill="1" applyBorder="1" applyAlignment="1">
      <alignment horizontal="right" vertical="top" wrapText="1"/>
    </xf>
    <xf numFmtId="3" fontId="76" fillId="37" borderId="17" xfId="0" applyNumberFormat="1" applyFont="1" applyFill="1" applyBorder="1" applyAlignment="1">
      <alignment horizontal="center" vertical="center" wrapText="1"/>
    </xf>
    <xf numFmtId="3" fontId="76" fillId="37" borderId="17" xfId="0" applyNumberFormat="1" applyFont="1" applyFill="1" applyBorder="1" applyAlignment="1">
      <alignment/>
    </xf>
    <xf numFmtId="3" fontId="77" fillId="0" borderId="17" xfId="0" applyNumberFormat="1" applyFont="1" applyFill="1" applyBorder="1" applyAlignment="1">
      <alignment/>
    </xf>
    <xf numFmtId="3" fontId="80" fillId="0" borderId="30" xfId="0" applyNumberFormat="1" applyFont="1" applyBorder="1" applyAlignment="1">
      <alignment horizontal="center" vertical="center"/>
    </xf>
    <xf numFmtId="3" fontId="81" fillId="0" borderId="16" xfId="0" applyNumberFormat="1" applyFont="1" applyFill="1" applyBorder="1" applyAlignment="1">
      <alignment horizontal="left" vertical="center" wrapText="1"/>
    </xf>
    <xf numFmtId="3" fontId="81" fillId="37" borderId="16" xfId="0" applyNumberFormat="1" applyFont="1" applyFill="1" applyBorder="1" applyAlignment="1">
      <alignment horizontal="center" vertical="center" wrapText="1"/>
    </xf>
    <xf numFmtId="3" fontId="85" fillId="37" borderId="26" xfId="0" applyNumberFormat="1" applyFont="1" applyFill="1" applyBorder="1" applyAlignment="1">
      <alignment horizontal="center" vertical="center"/>
    </xf>
    <xf numFmtId="3" fontId="77" fillId="0" borderId="13" xfId="0" applyNumberFormat="1" applyFont="1" applyFill="1" applyBorder="1" applyAlignment="1">
      <alignment/>
    </xf>
    <xf numFmtId="3" fontId="85" fillId="37" borderId="27" xfId="0" applyNumberFormat="1" applyFont="1" applyFill="1" applyBorder="1" applyAlignment="1">
      <alignment horizontal="center" vertical="center"/>
    </xf>
    <xf numFmtId="3" fontId="81" fillId="37" borderId="31" xfId="0" applyNumberFormat="1" applyFont="1" applyFill="1" applyBorder="1" applyAlignment="1">
      <alignment horizontal="center" vertical="center" wrapText="1"/>
    </xf>
    <xf numFmtId="3" fontId="76" fillId="37" borderId="21" xfId="0" applyNumberFormat="1" applyFont="1" applyFill="1" applyBorder="1" applyAlignment="1">
      <alignment horizontal="center" vertical="center" wrapText="1"/>
    </xf>
    <xf numFmtId="3" fontId="76" fillId="37" borderId="32" xfId="0" applyNumberFormat="1" applyFont="1" applyFill="1" applyBorder="1" applyAlignment="1">
      <alignment horizontal="center" vertical="center" wrapText="1"/>
    </xf>
    <xf numFmtId="3" fontId="81" fillId="37" borderId="21" xfId="0" applyNumberFormat="1" applyFont="1" applyFill="1" applyBorder="1" applyAlignment="1">
      <alignment horizontal="center" vertical="center" wrapText="1"/>
    </xf>
    <xf numFmtId="3" fontId="74" fillId="37" borderId="26" xfId="0" applyNumberFormat="1" applyFont="1" applyFill="1" applyBorder="1" applyAlignment="1">
      <alignment horizontal="center" vertical="center"/>
    </xf>
    <xf numFmtId="3" fontId="74" fillId="37" borderId="27" xfId="0" applyNumberFormat="1" applyFont="1" applyFill="1" applyBorder="1" applyAlignment="1">
      <alignment horizontal="center" vertical="center"/>
    </xf>
    <xf numFmtId="3" fontId="74" fillId="37" borderId="29" xfId="0" applyNumberFormat="1" applyFont="1" applyFill="1" applyBorder="1" applyAlignment="1">
      <alignment horizontal="center" vertical="center"/>
    </xf>
    <xf numFmtId="3" fontId="74" fillId="0" borderId="30" xfId="0" applyNumberFormat="1" applyFont="1" applyBorder="1" applyAlignment="1">
      <alignment horizontal="center" vertical="center"/>
    </xf>
    <xf numFmtId="49" fontId="74" fillId="56" borderId="26" xfId="0" applyNumberFormat="1" applyFont="1" applyFill="1" applyBorder="1" applyAlignment="1">
      <alignment horizontal="center" vertical="center"/>
    </xf>
    <xf numFmtId="3" fontId="74" fillId="41" borderId="24" xfId="0" applyNumberFormat="1" applyFont="1" applyFill="1" applyBorder="1" applyAlignment="1">
      <alignment horizontal="center" vertical="center"/>
    </xf>
    <xf numFmtId="3" fontId="76" fillId="41" borderId="25" xfId="0" applyNumberFormat="1" applyFont="1" applyFill="1" applyBorder="1" applyAlignment="1">
      <alignment horizontal="left" vertical="center" wrapText="1"/>
    </xf>
    <xf numFmtId="3" fontId="76" fillId="41" borderId="25" xfId="0" applyNumberFormat="1" applyFont="1" applyFill="1" applyBorder="1" applyAlignment="1">
      <alignment horizontal="center" vertical="center" wrapText="1"/>
    </xf>
    <xf numFmtId="3" fontId="77" fillId="41" borderId="25" xfId="0" applyNumberFormat="1" applyFont="1" applyFill="1" applyBorder="1" applyAlignment="1">
      <alignment horizontal="center" vertical="center"/>
    </xf>
    <xf numFmtId="3" fontId="76" fillId="41" borderId="13" xfId="0" applyNumberFormat="1" applyFont="1" applyFill="1" applyBorder="1" applyAlignment="1">
      <alignment horizontal="center" vertical="center" wrapText="1"/>
    </xf>
    <xf numFmtId="3" fontId="77" fillId="41" borderId="13" xfId="0" applyNumberFormat="1" applyFont="1" applyFill="1" applyBorder="1" applyAlignment="1">
      <alignment horizontal="center" vertical="center"/>
    </xf>
    <xf numFmtId="3" fontId="78" fillId="41" borderId="26" xfId="0" applyNumberFormat="1" applyFont="1" applyFill="1" applyBorder="1" applyAlignment="1">
      <alignment horizontal="center" vertical="center"/>
    </xf>
    <xf numFmtId="3" fontId="76" fillId="41" borderId="13" xfId="0" applyNumberFormat="1" applyFont="1" applyFill="1" applyBorder="1" applyAlignment="1">
      <alignment horizontal="left" vertical="center" wrapText="1"/>
    </xf>
    <xf numFmtId="49" fontId="77" fillId="41" borderId="13" xfId="0" applyNumberFormat="1" applyFont="1" applyFill="1" applyBorder="1" applyAlignment="1">
      <alignment horizontal="right" vertical="top" wrapText="1"/>
    </xf>
    <xf numFmtId="3" fontId="78" fillId="41" borderId="27" xfId="0" applyNumberFormat="1" applyFont="1" applyFill="1" applyBorder="1" applyAlignment="1">
      <alignment horizontal="center" vertical="center"/>
    </xf>
    <xf numFmtId="3" fontId="76" fillId="41" borderId="28" xfId="0" applyNumberFormat="1" applyFont="1" applyFill="1" applyBorder="1" applyAlignment="1">
      <alignment horizontal="left" vertical="center"/>
    </xf>
    <xf numFmtId="49" fontId="84" fillId="41" borderId="28" xfId="0" applyNumberFormat="1" applyFont="1" applyFill="1" applyBorder="1" applyAlignment="1">
      <alignment horizontal="right" vertical="top" wrapText="1"/>
    </xf>
    <xf numFmtId="3" fontId="76" fillId="41" borderId="28" xfId="0" applyNumberFormat="1" applyFont="1" applyFill="1" applyBorder="1" applyAlignment="1">
      <alignment horizontal="center" vertical="center" wrapText="1"/>
    </xf>
    <xf numFmtId="3" fontId="76" fillId="41" borderId="28" xfId="0" applyNumberFormat="1" applyFont="1" applyFill="1" applyBorder="1" applyAlignment="1">
      <alignment/>
    </xf>
    <xf numFmtId="3" fontId="77" fillId="41" borderId="28" xfId="0" applyNumberFormat="1" applyFont="1" applyFill="1" applyBorder="1" applyAlignment="1">
      <alignment/>
    </xf>
    <xf numFmtId="0" fontId="87" fillId="0" borderId="0" xfId="0" applyFont="1" applyAlignment="1">
      <alignment/>
    </xf>
    <xf numFmtId="0" fontId="19" fillId="0" borderId="0" xfId="0" applyFont="1" applyAlignment="1">
      <alignment/>
    </xf>
    <xf numFmtId="171" fontId="0" fillId="0" borderId="0" xfId="63" applyFont="1" applyFill="1" applyAlignment="1">
      <alignment/>
    </xf>
    <xf numFmtId="0" fontId="88" fillId="0" borderId="22" xfId="0" applyFont="1" applyBorder="1" applyAlignment="1">
      <alignment vertical="center"/>
    </xf>
    <xf numFmtId="0" fontId="89" fillId="37" borderId="13" xfId="0" applyFont="1" applyFill="1" applyBorder="1" applyAlignment="1">
      <alignment horizontal="left" wrapText="1"/>
    </xf>
    <xf numFmtId="0" fontId="88" fillId="37" borderId="13" xfId="0" applyFont="1" applyFill="1" applyBorder="1" applyAlignment="1">
      <alignment vertical="center"/>
    </xf>
    <xf numFmtId="0" fontId="88" fillId="0" borderId="0" xfId="0" applyFont="1" applyAlignment="1">
      <alignment vertical="center"/>
    </xf>
    <xf numFmtId="0" fontId="88" fillId="0" borderId="23" xfId="0" applyFont="1" applyBorder="1" applyAlignment="1">
      <alignment vertical="center"/>
    </xf>
    <xf numFmtId="0" fontId="93" fillId="0" borderId="23" xfId="0" applyFont="1" applyFill="1" applyBorder="1" applyAlignment="1">
      <alignment horizontal="left" wrapText="1"/>
    </xf>
    <xf numFmtId="0" fontId="93" fillId="0" borderId="12" xfId="0" applyFont="1" applyFill="1" applyBorder="1" applyAlignment="1">
      <alignment horizontal="left" wrapText="1"/>
    </xf>
    <xf numFmtId="0" fontId="93" fillId="0" borderId="12" xfId="0" applyFont="1" applyFill="1" applyBorder="1" applyAlignment="1">
      <alignment horizontal="center" wrapText="1"/>
    </xf>
    <xf numFmtId="178" fontId="94" fillId="36" borderId="13" xfId="0" applyNumberFormat="1" applyFont="1" applyFill="1" applyBorder="1" applyAlignment="1" applyProtection="1">
      <alignment vertical="center" textRotation="90"/>
      <protection/>
    </xf>
    <xf numFmtId="178" fontId="95" fillId="0" borderId="13" xfId="0" applyNumberFormat="1" applyFont="1" applyFill="1" applyBorder="1" applyAlignment="1" applyProtection="1">
      <alignment horizontal="center" vertical="center" wrapText="1"/>
      <protection/>
    </xf>
    <xf numFmtId="177" fontId="88" fillId="0" borderId="13" xfId="63" applyNumberFormat="1" applyFont="1" applyFill="1" applyBorder="1" applyAlignment="1">
      <alignment horizontal="center" vertical="center" wrapText="1"/>
    </xf>
    <xf numFmtId="0" fontId="88" fillId="0" borderId="0" xfId="0" applyFont="1" applyFill="1" applyAlignment="1">
      <alignment vertical="center"/>
    </xf>
    <xf numFmtId="178" fontId="94" fillId="0" borderId="13" xfId="0" applyNumberFormat="1" applyFont="1" applyFill="1" applyBorder="1" applyAlignment="1" applyProtection="1">
      <alignment vertical="center" textRotation="90"/>
      <protection/>
    </xf>
    <xf numFmtId="0" fontId="88" fillId="0" borderId="13" xfId="0" applyFont="1" applyFill="1" applyBorder="1" applyAlignment="1">
      <alignment horizontal="center" wrapText="1"/>
    </xf>
    <xf numFmtId="0" fontId="88" fillId="0" borderId="13" xfId="0" applyFont="1" applyFill="1" applyBorder="1" applyAlignment="1">
      <alignment horizontal="center" vertical="center"/>
    </xf>
    <xf numFmtId="0" fontId="88" fillId="0" borderId="23" xfId="0" applyFont="1" applyFill="1" applyBorder="1" applyAlignment="1">
      <alignment vertical="center"/>
    </xf>
    <xf numFmtId="1" fontId="94" fillId="0" borderId="13" xfId="0" applyNumberFormat="1" applyFont="1" applyFill="1" applyBorder="1" applyAlignment="1" applyProtection="1">
      <alignment vertical="center"/>
      <protection/>
    </xf>
    <xf numFmtId="178" fontId="95" fillId="0" borderId="13" xfId="0" applyNumberFormat="1" applyFont="1" applyFill="1" applyBorder="1" applyAlignment="1" applyProtection="1">
      <alignment horizontal="center" vertical="center"/>
      <protection/>
    </xf>
    <xf numFmtId="0" fontId="88" fillId="0" borderId="0" xfId="0" applyFont="1" applyFill="1" applyBorder="1" applyAlignment="1">
      <alignment vertical="center"/>
    </xf>
    <xf numFmtId="1" fontId="95" fillId="0" borderId="13" xfId="0" applyNumberFormat="1" applyFont="1" applyFill="1" applyBorder="1" applyAlignment="1" applyProtection="1">
      <alignment vertical="center" wrapText="1"/>
      <protection/>
    </xf>
    <xf numFmtId="10" fontId="93" fillId="0" borderId="13" xfId="52" applyNumberFormat="1" applyFont="1" applyFill="1" applyBorder="1" applyAlignment="1" applyProtection="1">
      <alignment vertical="center" wrapText="1"/>
      <protection/>
    </xf>
    <xf numFmtId="178" fontId="88" fillId="0" borderId="13" xfId="0" applyNumberFormat="1" applyFont="1" applyFill="1" applyBorder="1" applyAlignment="1" applyProtection="1">
      <alignment horizontal="center" vertical="center" wrapText="1"/>
      <protection/>
    </xf>
    <xf numFmtId="0" fontId="88" fillId="0" borderId="0" xfId="0" applyFont="1" applyBorder="1" applyAlignment="1">
      <alignment vertical="center"/>
    </xf>
    <xf numFmtId="178" fontId="94" fillId="36" borderId="13" xfId="0" applyNumberFormat="1" applyFont="1" applyFill="1" applyBorder="1" applyAlignment="1" applyProtection="1">
      <alignment vertical="center"/>
      <protection/>
    </xf>
    <xf numFmtId="178" fontId="93" fillId="53" borderId="13" xfId="0" applyNumberFormat="1" applyFont="1" applyFill="1" applyBorder="1" applyAlignment="1" applyProtection="1">
      <alignment horizontal="center" vertical="center" wrapText="1"/>
      <protection/>
    </xf>
    <xf numFmtId="0" fontId="94" fillId="36" borderId="13" xfId="0" applyFont="1" applyFill="1" applyBorder="1" applyAlignment="1" applyProtection="1">
      <alignment horizontal="center" vertical="center"/>
      <protection/>
    </xf>
    <xf numFmtId="0" fontId="95" fillId="36" borderId="13" xfId="0" applyFont="1" applyFill="1" applyBorder="1" applyAlignment="1" applyProtection="1">
      <alignment horizontal="center" vertical="center" wrapText="1"/>
      <protection/>
    </xf>
    <xf numFmtId="0" fontId="88" fillId="36" borderId="13" xfId="0" applyFont="1" applyFill="1" applyBorder="1" applyAlignment="1">
      <alignment horizontal="center" vertical="center" wrapText="1"/>
    </xf>
    <xf numFmtId="0" fontId="94" fillId="34" borderId="13" xfId="0" applyFont="1" applyFill="1" applyBorder="1" applyAlignment="1" applyProtection="1">
      <alignment vertical="center"/>
      <protection/>
    </xf>
    <xf numFmtId="0" fontId="95" fillId="34" borderId="13" xfId="0" applyFont="1" applyFill="1" applyBorder="1" applyAlignment="1" applyProtection="1">
      <alignment horizontal="center" vertical="center"/>
      <protection/>
    </xf>
    <xf numFmtId="171" fontId="95" fillId="34" borderId="13" xfId="63" applyNumberFormat="1" applyFont="1" applyFill="1" applyBorder="1" applyAlignment="1" applyProtection="1">
      <alignment vertical="center"/>
      <protection/>
    </xf>
    <xf numFmtId="0" fontId="88" fillId="55" borderId="0" xfId="0" applyFont="1" applyFill="1" applyAlignment="1">
      <alignment vertical="center"/>
    </xf>
    <xf numFmtId="171" fontId="94" fillId="36" borderId="13" xfId="63" applyFont="1" applyFill="1" applyBorder="1" applyAlignment="1" applyProtection="1">
      <alignment vertical="center" wrapText="1"/>
      <protection/>
    </xf>
    <xf numFmtId="171" fontId="95" fillId="36" borderId="13" xfId="63" applyFont="1" applyFill="1" applyBorder="1" applyAlignment="1" applyProtection="1">
      <alignment horizontal="center" vertical="center" wrapText="1"/>
      <protection/>
    </xf>
    <xf numFmtId="171" fontId="95" fillId="36" borderId="13" xfId="63" applyNumberFormat="1" applyFont="1" applyFill="1" applyBorder="1" applyAlignment="1" applyProtection="1">
      <alignment vertical="center"/>
      <protection/>
    </xf>
    <xf numFmtId="0" fontId="94" fillId="34" borderId="13" xfId="0" applyFont="1" applyFill="1" applyBorder="1" applyAlignment="1" applyProtection="1">
      <alignment vertical="center" wrapText="1"/>
      <protection/>
    </xf>
    <xf numFmtId="0" fontId="93" fillId="0" borderId="0" xfId="0" applyFont="1" applyAlignment="1">
      <alignment vertical="center"/>
    </xf>
    <xf numFmtId="0" fontId="94" fillId="33" borderId="13" xfId="0" applyFont="1" applyFill="1" applyBorder="1" applyAlignment="1" applyProtection="1">
      <alignment vertical="center"/>
      <protection/>
    </xf>
    <xf numFmtId="1" fontId="88" fillId="33" borderId="13" xfId="0" applyNumberFormat="1" applyFont="1" applyFill="1" applyBorder="1" applyAlignment="1">
      <alignment horizontal="center" vertical="center"/>
    </xf>
    <xf numFmtId="171" fontId="95" fillId="33" borderId="13" xfId="63" applyNumberFormat="1" applyFont="1" applyFill="1" applyBorder="1" applyAlignment="1" applyProtection="1">
      <alignment vertical="center"/>
      <protection/>
    </xf>
    <xf numFmtId="0" fontId="95" fillId="36" borderId="13" xfId="0" applyFont="1" applyFill="1" applyBorder="1" applyAlignment="1" applyProtection="1">
      <alignment vertical="center"/>
      <protection/>
    </xf>
    <xf numFmtId="1" fontId="88" fillId="36" borderId="13" xfId="0" applyNumberFormat="1" applyFont="1" applyFill="1" applyBorder="1" applyAlignment="1">
      <alignment horizontal="center" vertical="center"/>
    </xf>
    <xf numFmtId="1" fontId="88" fillId="0" borderId="13" xfId="0" applyNumberFormat="1" applyFont="1" applyBorder="1" applyAlignment="1">
      <alignment horizontal="center" vertical="center"/>
    </xf>
    <xf numFmtId="171" fontId="95" fillId="0" borderId="13" xfId="63" applyNumberFormat="1" applyFont="1" applyFill="1" applyBorder="1" applyAlignment="1" applyProtection="1">
      <alignment vertical="center"/>
      <protection locked="0"/>
    </xf>
    <xf numFmtId="204" fontId="88" fillId="0" borderId="13" xfId="63" applyNumberFormat="1" applyFont="1" applyFill="1" applyBorder="1" applyAlignment="1">
      <alignment vertical="center"/>
    </xf>
    <xf numFmtId="171" fontId="88" fillId="0" borderId="13" xfId="63" applyFont="1" applyFill="1" applyBorder="1" applyAlignment="1">
      <alignment vertical="center"/>
    </xf>
    <xf numFmtId="171" fontId="88" fillId="0" borderId="13" xfId="63" applyFont="1" applyBorder="1" applyAlignment="1">
      <alignment vertical="center"/>
    </xf>
    <xf numFmtId="0" fontId="96" fillId="36" borderId="13" xfId="0" applyFont="1" applyFill="1" applyBorder="1" applyAlignment="1" applyProtection="1">
      <alignment vertical="center"/>
      <protection/>
    </xf>
    <xf numFmtId="171" fontId="88" fillId="0" borderId="13" xfId="63" applyNumberFormat="1" applyFont="1" applyFill="1" applyBorder="1" applyAlignment="1" applyProtection="1">
      <alignment vertical="center"/>
      <protection locked="0"/>
    </xf>
    <xf numFmtId="0" fontId="97" fillId="0" borderId="0" xfId="0" applyFont="1" applyAlignment="1">
      <alignment vertical="center"/>
    </xf>
    <xf numFmtId="1" fontId="88" fillId="0" borderId="13" xfId="0" applyNumberFormat="1" applyFont="1" applyFill="1" applyBorder="1" applyAlignment="1">
      <alignment horizontal="center" vertical="center"/>
    </xf>
    <xf numFmtId="1" fontId="88" fillId="36" borderId="13" xfId="0" applyNumberFormat="1" applyFont="1" applyFill="1" applyBorder="1" applyAlignment="1">
      <alignment horizontal="center" vertical="center" wrapText="1"/>
    </xf>
    <xf numFmtId="0" fontId="98" fillId="36" borderId="13" xfId="0" applyFont="1" applyFill="1" applyBorder="1" applyAlignment="1" applyProtection="1">
      <alignment vertical="center"/>
      <protection/>
    </xf>
    <xf numFmtId="171" fontId="98" fillId="0" borderId="13" xfId="63" applyNumberFormat="1" applyFont="1" applyFill="1" applyBorder="1" applyAlignment="1" applyProtection="1">
      <alignment vertical="center"/>
      <protection locked="0"/>
    </xf>
    <xf numFmtId="0" fontId="98" fillId="0" borderId="0" xfId="0" applyFont="1" applyAlignment="1">
      <alignment vertical="center"/>
    </xf>
    <xf numFmtId="0" fontId="99" fillId="36" borderId="13" xfId="0" applyFont="1" applyFill="1" applyBorder="1" applyAlignment="1" applyProtection="1">
      <alignment vertical="center"/>
      <protection/>
    </xf>
    <xf numFmtId="171" fontId="99" fillId="0" borderId="13" xfId="63" applyNumberFormat="1" applyFont="1" applyFill="1" applyBorder="1" applyAlignment="1" applyProtection="1">
      <alignment vertical="center"/>
      <protection locked="0"/>
    </xf>
    <xf numFmtId="0" fontId="99" fillId="0" borderId="0" xfId="0" applyFont="1" applyAlignment="1">
      <alignment vertical="center"/>
    </xf>
    <xf numFmtId="171" fontId="95" fillId="33" borderId="13" xfId="63" applyNumberFormat="1" applyFont="1" applyFill="1" applyBorder="1" applyAlignment="1" applyProtection="1">
      <alignment vertical="center"/>
      <protection locked="0"/>
    </xf>
    <xf numFmtId="204" fontId="88" fillId="33" borderId="13" xfId="63" applyNumberFormat="1" applyFont="1" applyFill="1" applyBorder="1" applyAlignment="1">
      <alignment vertical="center"/>
    </xf>
    <xf numFmtId="171" fontId="88" fillId="33" borderId="13" xfId="63" applyFont="1" applyFill="1" applyBorder="1" applyAlignment="1">
      <alignment vertical="center"/>
    </xf>
    <xf numFmtId="0" fontId="94" fillId="42" borderId="13" xfId="0" applyFont="1" applyFill="1" applyBorder="1" applyAlignment="1" applyProtection="1">
      <alignment vertical="center"/>
      <protection/>
    </xf>
    <xf numFmtId="1" fontId="88" fillId="42" borderId="13" xfId="0" applyNumberFormat="1" applyFont="1" applyFill="1" applyBorder="1" applyAlignment="1">
      <alignment horizontal="center" vertical="center" wrapText="1"/>
    </xf>
    <xf numFmtId="171" fontId="95" fillId="42" borderId="13" xfId="63" applyNumberFormat="1" applyFont="1" applyFill="1" applyBorder="1" applyAlignment="1" applyProtection="1">
      <alignment vertical="center"/>
      <protection/>
    </xf>
    <xf numFmtId="0" fontId="100" fillId="0" borderId="0" xfId="0" applyFont="1" applyAlignment="1">
      <alignment vertical="center"/>
    </xf>
    <xf numFmtId="1" fontId="88" fillId="42" borderId="13" xfId="0" applyNumberFormat="1" applyFont="1" applyFill="1" applyBorder="1" applyAlignment="1">
      <alignment horizontal="center" vertical="center"/>
    </xf>
    <xf numFmtId="174" fontId="88" fillId="42" borderId="13" xfId="63" applyNumberFormat="1" applyFont="1" applyFill="1" applyBorder="1" applyAlignment="1" applyProtection="1">
      <alignment horizontal="center" vertical="center"/>
      <protection/>
    </xf>
    <xf numFmtId="174" fontId="100" fillId="0" borderId="0" xfId="63" applyNumberFormat="1" applyFont="1" applyAlignment="1" applyProtection="1">
      <alignment vertical="center"/>
      <protection/>
    </xf>
    <xf numFmtId="0" fontId="88" fillId="0" borderId="0" xfId="0" applyFont="1" applyAlignment="1" applyProtection="1">
      <alignment vertical="center"/>
      <protection/>
    </xf>
    <xf numFmtId="0" fontId="88" fillId="36" borderId="13" xfId="0" applyFont="1" applyFill="1" applyBorder="1" applyAlignment="1" applyProtection="1">
      <alignment vertical="center"/>
      <protection/>
    </xf>
    <xf numFmtId="171" fontId="96" fillId="0" borderId="13" xfId="63" applyNumberFormat="1" applyFont="1" applyFill="1" applyBorder="1" applyAlignment="1" applyProtection="1">
      <alignment vertical="center"/>
      <protection locked="0"/>
    </xf>
    <xf numFmtId="0" fontId="96" fillId="0" borderId="0" xfId="0" applyFont="1" applyAlignment="1">
      <alignment vertical="center"/>
    </xf>
    <xf numFmtId="0" fontId="101" fillId="33" borderId="13" xfId="0" applyFont="1" applyFill="1" applyBorder="1" applyAlignment="1" applyProtection="1">
      <alignment vertical="center"/>
      <protection/>
    </xf>
    <xf numFmtId="1" fontId="88" fillId="33" borderId="13" xfId="0" applyNumberFormat="1" applyFont="1" applyFill="1" applyBorder="1" applyAlignment="1" applyProtection="1">
      <alignment horizontal="center" vertical="center"/>
      <protection/>
    </xf>
    <xf numFmtId="171" fontId="98" fillId="33" borderId="13" xfId="63" applyNumberFormat="1" applyFont="1" applyFill="1" applyBorder="1" applyAlignment="1" applyProtection="1">
      <alignment vertical="center"/>
      <protection/>
    </xf>
    <xf numFmtId="1" fontId="88" fillId="0" borderId="13" xfId="0" applyNumberFormat="1" applyFont="1" applyBorder="1" applyAlignment="1">
      <alignment horizontal="center" vertical="center" wrapText="1"/>
    </xf>
    <xf numFmtId="1" fontId="93" fillId="34" borderId="13" xfId="0" applyNumberFormat="1" applyFont="1" applyFill="1" applyBorder="1" applyAlignment="1">
      <alignment horizontal="center" vertical="center" wrapText="1"/>
    </xf>
    <xf numFmtId="171" fontId="95" fillId="34" borderId="13" xfId="63" applyNumberFormat="1" applyFont="1" applyFill="1" applyBorder="1" applyAlignment="1" applyProtection="1">
      <alignment horizontal="left" vertical="center" indent="1"/>
      <protection/>
    </xf>
    <xf numFmtId="0" fontId="93" fillId="0" borderId="0" xfId="0" applyFont="1" applyAlignment="1">
      <alignment horizontal="left" vertical="center" indent="1"/>
    </xf>
    <xf numFmtId="0" fontId="95" fillId="42" borderId="13" xfId="0" applyFont="1" applyFill="1" applyBorder="1" applyAlignment="1" applyProtection="1">
      <alignment vertical="center"/>
      <protection/>
    </xf>
    <xf numFmtId="171" fontId="95" fillId="0" borderId="13" xfId="63" applyNumberFormat="1" applyFont="1" applyFill="1" applyBorder="1" applyAlignment="1" applyProtection="1">
      <alignment horizontal="right" vertical="center"/>
      <protection locked="0"/>
    </xf>
    <xf numFmtId="0" fontId="88" fillId="0" borderId="0" xfId="0" applyFont="1" applyAlignment="1">
      <alignment horizontal="center" vertical="center"/>
    </xf>
    <xf numFmtId="171" fontId="88" fillId="0" borderId="0" xfId="0" applyNumberFormat="1" applyFont="1" applyAlignment="1">
      <alignment vertical="center"/>
    </xf>
    <xf numFmtId="171" fontId="88" fillId="0" borderId="0" xfId="63" applyFont="1" applyFill="1" applyAlignment="1">
      <alignment vertical="center"/>
    </xf>
    <xf numFmtId="171" fontId="88" fillId="0" borderId="0" xfId="63" applyFont="1" applyAlignment="1">
      <alignment vertical="center"/>
    </xf>
    <xf numFmtId="0" fontId="88" fillId="0" borderId="19" xfId="0" applyFont="1" applyBorder="1" applyAlignment="1">
      <alignment vertical="center"/>
    </xf>
    <xf numFmtId="0" fontId="88" fillId="0" borderId="20" xfId="0" applyFont="1" applyBorder="1" applyAlignment="1">
      <alignment vertical="center"/>
    </xf>
    <xf numFmtId="171" fontId="18" fillId="0" borderId="0" xfId="63" applyFont="1" applyFill="1" applyAlignment="1">
      <alignment/>
    </xf>
    <xf numFmtId="0" fontId="30" fillId="0" borderId="0" xfId="0" applyFont="1" applyFill="1" applyBorder="1" applyAlignment="1">
      <alignment/>
    </xf>
    <xf numFmtId="3" fontId="31" fillId="0" borderId="0" xfId="0" applyNumberFormat="1" applyFont="1" applyBorder="1" applyAlignment="1">
      <alignment/>
    </xf>
    <xf numFmtId="0" fontId="20" fillId="0" borderId="0" xfId="0" applyFont="1" applyBorder="1" applyAlignment="1">
      <alignment/>
    </xf>
    <xf numFmtId="0" fontId="19" fillId="0" borderId="0" xfId="0" applyFont="1" applyBorder="1" applyAlignment="1">
      <alignment/>
    </xf>
    <xf numFmtId="0" fontId="22" fillId="56" borderId="13" xfId="0" applyFont="1" applyFill="1" applyBorder="1" applyAlignment="1">
      <alignment horizontal="left"/>
    </xf>
    <xf numFmtId="0" fontId="31" fillId="56" borderId="13" xfId="0" applyFont="1" applyFill="1" applyBorder="1" applyAlignment="1">
      <alignment horizontal="left" wrapText="1"/>
    </xf>
    <xf numFmtId="0" fontId="22" fillId="56" borderId="13" xfId="0" applyFont="1" applyFill="1" applyBorder="1" applyAlignment="1">
      <alignment horizontal="left" wrapText="1"/>
    </xf>
    <xf numFmtId="0" fontId="22" fillId="56" borderId="13" xfId="0" applyFont="1" applyFill="1" applyBorder="1" applyAlignment="1">
      <alignment horizontal="center" wrapText="1"/>
    </xf>
    <xf numFmtId="49" fontId="31" fillId="0" borderId="13" xfId="0" applyNumberFormat="1" applyFont="1" applyFill="1" applyBorder="1" applyAlignment="1">
      <alignment horizontal="right"/>
    </xf>
    <xf numFmtId="0" fontId="19" fillId="0" borderId="13" xfId="0" applyFont="1" applyFill="1" applyBorder="1" applyAlignment="1">
      <alignment/>
    </xf>
    <xf numFmtId="0" fontId="19" fillId="0" borderId="13" xfId="0" applyFont="1" applyBorder="1" applyAlignment="1">
      <alignment wrapText="1"/>
    </xf>
    <xf numFmtId="9" fontId="19" fillId="0" borderId="13" xfId="0" applyNumberFormat="1" applyFont="1" applyFill="1" applyBorder="1" applyAlignment="1">
      <alignment/>
    </xf>
    <xf numFmtId="49" fontId="31" fillId="56" borderId="13" xfId="0" applyNumberFormat="1" applyFont="1" applyFill="1" applyBorder="1" applyAlignment="1">
      <alignment horizontal="right"/>
    </xf>
    <xf numFmtId="0" fontId="19" fillId="56" borderId="13" xfId="0" applyFont="1" applyFill="1" applyBorder="1" applyAlignment="1">
      <alignment/>
    </xf>
    <xf numFmtId="0" fontId="19" fillId="56" borderId="13" xfId="0" applyFont="1" applyFill="1" applyBorder="1" applyAlignment="1">
      <alignment wrapText="1"/>
    </xf>
    <xf numFmtId="49" fontId="31" fillId="0" borderId="13" xfId="0" applyNumberFormat="1" applyFont="1" applyBorder="1" applyAlignment="1">
      <alignment horizontal="right"/>
    </xf>
    <xf numFmtId="0" fontId="19" fillId="0" borderId="13" xfId="0" applyFont="1" applyBorder="1" applyAlignment="1">
      <alignment/>
    </xf>
    <xf numFmtId="9" fontId="19" fillId="0" borderId="13" xfId="0" applyNumberFormat="1" applyFont="1" applyBorder="1" applyAlignment="1">
      <alignment/>
    </xf>
    <xf numFmtId="0" fontId="19" fillId="0" borderId="13" xfId="0" applyFont="1" applyBorder="1" applyAlignment="1">
      <alignment vertical="center" wrapText="1"/>
    </xf>
    <xf numFmtId="0" fontId="22" fillId="0" borderId="13" xfId="0" applyFont="1" applyBorder="1" applyAlignment="1">
      <alignment horizontal="center"/>
    </xf>
    <xf numFmtId="0" fontId="31" fillId="0" borderId="0" xfId="0" applyFont="1" applyAlignment="1">
      <alignment/>
    </xf>
    <xf numFmtId="0" fontId="36" fillId="0" borderId="13" xfId="0" applyFont="1" applyBorder="1" applyAlignment="1">
      <alignment horizontal="left" wrapText="1"/>
    </xf>
    <xf numFmtId="3" fontId="78" fillId="0" borderId="33" xfId="0" applyNumberFormat="1" applyFont="1" applyBorder="1" applyAlignment="1">
      <alignment/>
    </xf>
    <xf numFmtId="3" fontId="76" fillId="0" borderId="11" xfId="0" applyNumberFormat="1" applyFont="1" applyBorder="1" applyAlignment="1">
      <alignment/>
    </xf>
    <xf numFmtId="3" fontId="75" fillId="37" borderId="13" xfId="0" applyNumberFormat="1" applyFont="1" applyFill="1" applyBorder="1" applyAlignment="1">
      <alignment horizontal="center"/>
    </xf>
    <xf numFmtId="3" fontId="74" fillId="0" borderId="24" xfId="0" applyNumberFormat="1" applyFont="1" applyFill="1" applyBorder="1" applyAlignment="1">
      <alignment horizontal="center" vertical="center"/>
    </xf>
    <xf numFmtId="3" fontId="76" fillId="0" borderId="13" xfId="0" applyNumberFormat="1" applyFont="1" applyFill="1" applyBorder="1" applyAlignment="1">
      <alignment horizontal="left" vertical="center"/>
    </xf>
    <xf numFmtId="0" fontId="19" fillId="0" borderId="13" xfId="0" applyFont="1" applyFill="1" applyBorder="1" applyAlignment="1">
      <alignment/>
    </xf>
    <xf numFmtId="3" fontId="76" fillId="0" borderId="28" xfId="0" applyNumberFormat="1" applyFont="1" applyFill="1" applyBorder="1" applyAlignment="1">
      <alignment horizontal="left" vertical="center"/>
    </xf>
    <xf numFmtId="3" fontId="77" fillId="55" borderId="34" xfId="0" applyNumberFormat="1" applyFont="1" applyFill="1" applyBorder="1" applyAlignment="1">
      <alignment horizontal="center" vertical="center"/>
    </xf>
    <xf numFmtId="3" fontId="77" fillId="0" borderId="34" xfId="0" applyNumberFormat="1" applyFont="1" applyFill="1" applyBorder="1" applyAlignment="1">
      <alignment horizontal="center" vertical="center"/>
    </xf>
    <xf numFmtId="3" fontId="75" fillId="37" borderId="34" xfId="0" applyNumberFormat="1" applyFont="1" applyFill="1" applyBorder="1" applyAlignment="1">
      <alignment horizontal="center"/>
    </xf>
    <xf numFmtId="3" fontId="75" fillId="0" borderId="0" xfId="0" applyNumberFormat="1" applyFont="1" applyBorder="1" applyAlignment="1">
      <alignment horizontal="center"/>
    </xf>
    <xf numFmtId="3" fontId="75" fillId="0" borderId="35" xfId="0" applyNumberFormat="1" applyFont="1" applyBorder="1" applyAlignment="1">
      <alignment horizontal="center"/>
    </xf>
    <xf numFmtId="0" fontId="0" fillId="0" borderId="16" xfId="0" applyBorder="1" applyAlignment="1">
      <alignment/>
    </xf>
    <xf numFmtId="171" fontId="36" fillId="0" borderId="0" xfId="63" applyFont="1" applyFill="1" applyBorder="1" applyAlignment="1">
      <alignment horizontal="left" wrapText="1"/>
    </xf>
    <xf numFmtId="0" fontId="61" fillId="37" borderId="36" xfId="0" applyFont="1" applyFill="1" applyBorder="1" applyAlignment="1">
      <alignment horizontal="center" wrapText="1"/>
    </xf>
    <xf numFmtId="0" fontId="19" fillId="0" borderId="0" xfId="0" applyNumberFormat="1" applyFont="1" applyBorder="1" applyAlignment="1">
      <alignment horizontal="left" vertical="top" wrapText="1"/>
    </xf>
    <xf numFmtId="3" fontId="80" fillId="0" borderId="0" xfId="0" applyNumberFormat="1" applyFont="1" applyFill="1" applyBorder="1" applyAlignment="1">
      <alignment horizontal="center" vertical="center"/>
    </xf>
    <xf numFmtId="3" fontId="81" fillId="0" borderId="0" xfId="0" applyNumberFormat="1" applyFont="1" applyFill="1" applyBorder="1" applyAlignment="1">
      <alignment horizontal="left" vertical="center" wrapText="1"/>
    </xf>
    <xf numFmtId="3" fontId="81" fillId="0" borderId="0" xfId="0" applyNumberFormat="1" applyFont="1" applyFill="1" applyBorder="1" applyAlignment="1">
      <alignment horizontal="center" vertical="center" wrapText="1"/>
    </xf>
    <xf numFmtId="3" fontId="83" fillId="0" borderId="0" xfId="0" applyNumberFormat="1" applyFont="1" applyFill="1" applyBorder="1" applyAlignment="1">
      <alignment horizontal="center" vertical="center"/>
    </xf>
    <xf numFmtId="49" fontId="74" fillId="0" borderId="0" xfId="0" applyNumberFormat="1" applyFont="1" applyFill="1" applyBorder="1" applyAlignment="1">
      <alignment horizontal="center" vertical="center"/>
    </xf>
    <xf numFmtId="3" fontId="76" fillId="0" borderId="0" xfId="0" applyNumberFormat="1" applyFont="1" applyFill="1" applyBorder="1" applyAlignment="1">
      <alignment horizontal="left" vertical="center"/>
    </xf>
    <xf numFmtId="3" fontId="76" fillId="0" borderId="0" xfId="0" applyNumberFormat="1" applyFont="1" applyFill="1" applyBorder="1" applyAlignment="1">
      <alignment horizontal="center" vertical="center" wrapText="1"/>
    </xf>
    <xf numFmtId="3" fontId="77" fillId="0" borderId="0" xfId="0" applyNumberFormat="1" applyFont="1" applyFill="1" applyBorder="1" applyAlignment="1">
      <alignment horizontal="center" vertical="center"/>
    </xf>
    <xf numFmtId="3" fontId="78" fillId="0" borderId="0" xfId="0" applyNumberFormat="1" applyFont="1" applyFill="1" applyBorder="1" applyAlignment="1">
      <alignment horizontal="center" vertical="center"/>
    </xf>
    <xf numFmtId="3" fontId="76" fillId="0" borderId="0" xfId="0" applyNumberFormat="1" applyFont="1" applyFill="1" applyBorder="1" applyAlignment="1">
      <alignment horizontal="left" vertical="center" wrapText="1"/>
    </xf>
    <xf numFmtId="49" fontId="77" fillId="0" borderId="0" xfId="0" applyNumberFormat="1" applyFont="1" applyFill="1" applyBorder="1" applyAlignment="1">
      <alignment horizontal="right" vertical="top" wrapText="1"/>
    </xf>
    <xf numFmtId="49" fontId="84" fillId="0" borderId="0" xfId="0" applyNumberFormat="1" applyFont="1" applyFill="1" applyBorder="1" applyAlignment="1">
      <alignment horizontal="right" vertical="top" wrapText="1"/>
    </xf>
    <xf numFmtId="3" fontId="76" fillId="0" borderId="0" xfId="0" applyNumberFormat="1" applyFont="1" applyFill="1" applyBorder="1" applyAlignment="1">
      <alignment/>
    </xf>
    <xf numFmtId="3" fontId="77" fillId="0" borderId="0" xfId="0" applyNumberFormat="1" applyFont="1" applyFill="1" applyBorder="1" applyAlignment="1">
      <alignment/>
    </xf>
    <xf numFmtId="0" fontId="19" fillId="0" borderId="0" xfId="0" applyFont="1" applyFill="1" applyBorder="1" applyAlignment="1">
      <alignment/>
    </xf>
    <xf numFmtId="0" fontId="79" fillId="0" borderId="0" xfId="0" applyFont="1" applyFill="1" applyBorder="1" applyAlignment="1">
      <alignment/>
    </xf>
    <xf numFmtId="3" fontId="74" fillId="0" borderId="0" xfId="0" applyNumberFormat="1" applyFont="1" applyFill="1" applyBorder="1" applyAlignment="1">
      <alignment horizontal="center" vertical="center"/>
    </xf>
    <xf numFmtId="3" fontId="83" fillId="0" borderId="0" xfId="0" applyNumberFormat="1" applyFont="1" applyFill="1" applyBorder="1" applyAlignment="1">
      <alignment/>
    </xf>
    <xf numFmtId="0" fontId="0" fillId="0" borderId="0" xfId="0" applyAlignment="1">
      <alignment vertical="top"/>
    </xf>
    <xf numFmtId="0" fontId="104" fillId="0" borderId="0" xfId="0" applyFont="1" applyFill="1" applyAlignment="1">
      <alignment/>
    </xf>
    <xf numFmtId="0" fontId="36" fillId="0" borderId="0" xfId="0" applyFont="1" applyBorder="1" applyAlignment="1">
      <alignment/>
    </xf>
    <xf numFmtId="10" fontId="149" fillId="0" borderId="13" xfId="0" applyNumberFormat="1" applyFont="1" applyFill="1" applyBorder="1" applyAlignment="1" applyProtection="1">
      <alignment horizontal="center"/>
      <protection locked="0"/>
    </xf>
    <xf numFmtId="204" fontId="150" fillId="0" borderId="13" xfId="63" applyNumberFormat="1" applyFont="1" applyFill="1" applyBorder="1" applyAlignment="1">
      <alignment vertical="center"/>
    </xf>
    <xf numFmtId="171" fontId="150" fillId="0" borderId="13" xfId="63" applyFont="1" applyFill="1" applyBorder="1" applyAlignment="1">
      <alignment vertical="center"/>
    </xf>
    <xf numFmtId="171" fontId="150" fillId="0" borderId="13" xfId="63" applyFont="1" applyBorder="1" applyAlignment="1">
      <alignment vertical="center"/>
    </xf>
    <xf numFmtId="0" fontId="0" fillId="0" borderId="0" xfId="50">
      <alignment/>
      <protection/>
    </xf>
    <xf numFmtId="0" fontId="11" fillId="0" borderId="0" xfId="50" applyFont="1">
      <alignment/>
      <protection/>
    </xf>
    <xf numFmtId="4" fontId="0" fillId="0" borderId="0" xfId="50" applyNumberFormat="1">
      <alignment/>
      <protection/>
    </xf>
    <xf numFmtId="10" fontId="50" fillId="0" borderId="13" xfId="0" applyNumberFormat="1" applyFont="1" applyFill="1" applyBorder="1" applyAlignment="1" applyProtection="1">
      <alignment horizontal="center"/>
      <protection locked="0"/>
    </xf>
    <xf numFmtId="49" fontId="34" fillId="37" borderId="13" xfId="63" applyNumberFormat="1" applyFont="1" applyFill="1" applyBorder="1" applyAlignment="1">
      <alignment horizontal="center" vertical="center" wrapText="1"/>
    </xf>
    <xf numFmtId="0" fontId="30" fillId="34" borderId="13" xfId="0" applyFont="1" applyFill="1" applyBorder="1" applyAlignment="1">
      <alignment wrapText="1"/>
    </xf>
    <xf numFmtId="0" fontId="2" fillId="0" borderId="0" xfId="44" applyFill="1" applyAlignment="1" applyProtection="1">
      <alignment/>
      <protection/>
    </xf>
    <xf numFmtId="10" fontId="149" fillId="57" borderId="13" xfId="0" applyNumberFormat="1" applyFont="1" applyFill="1" applyBorder="1" applyAlignment="1" applyProtection="1">
      <alignment horizontal="center"/>
      <protection locked="0"/>
    </xf>
    <xf numFmtId="0" fontId="151" fillId="0" borderId="0" xfId="0" applyFont="1" applyFill="1" applyBorder="1" applyAlignment="1">
      <alignment horizontal="center"/>
    </xf>
    <xf numFmtId="0" fontId="34" fillId="0" borderId="0" xfId="0" applyFont="1" applyFill="1" applyAlignment="1">
      <alignment/>
    </xf>
    <xf numFmtId="3" fontId="76" fillId="58" borderId="13" xfId="0" applyNumberFormat="1" applyFont="1" applyFill="1" applyBorder="1" applyAlignment="1">
      <alignment horizontal="center" vertical="center" wrapText="1"/>
    </xf>
    <xf numFmtId="49" fontId="31" fillId="59" borderId="13" xfId="0" applyNumberFormat="1" applyFont="1" applyFill="1" applyBorder="1" applyAlignment="1">
      <alignment horizontal="right"/>
    </xf>
    <xf numFmtId="0" fontId="19" fillId="59" borderId="13" xfId="0" applyFont="1" applyFill="1" applyBorder="1" applyAlignment="1">
      <alignment/>
    </xf>
    <xf numFmtId="0" fontId="152" fillId="59" borderId="13" xfId="0" applyFont="1" applyFill="1" applyBorder="1" applyAlignment="1">
      <alignment wrapText="1"/>
    </xf>
    <xf numFmtId="49" fontId="152" fillId="59" borderId="13" xfId="63" applyNumberFormat="1" applyFont="1" applyFill="1" applyBorder="1" applyAlignment="1">
      <alignment horizontal="right"/>
    </xf>
    <xf numFmtId="49" fontId="152" fillId="59" borderId="13" xfId="0" applyNumberFormat="1" applyFont="1" applyFill="1" applyBorder="1" applyAlignment="1">
      <alignment horizontal="right"/>
    </xf>
    <xf numFmtId="0" fontId="152" fillId="59" borderId="13" xfId="0" applyFont="1" applyFill="1" applyBorder="1" applyAlignment="1">
      <alignment vertical="center" wrapText="1"/>
    </xf>
    <xf numFmtId="9" fontId="152" fillId="59" borderId="13" xfId="0" applyNumberFormat="1" applyFont="1" applyFill="1" applyBorder="1" applyAlignment="1">
      <alignment/>
    </xf>
    <xf numFmtId="0" fontId="0" fillId="0" borderId="0" xfId="0" applyFont="1" applyAlignment="1">
      <alignment vertical="top"/>
    </xf>
    <xf numFmtId="0" fontId="19" fillId="17" borderId="13" xfId="0" applyFont="1" applyFill="1" applyBorder="1" applyAlignment="1">
      <alignment vertical="center"/>
    </xf>
    <xf numFmtId="171" fontId="30" fillId="17" borderId="13" xfId="63" applyFont="1" applyFill="1" applyBorder="1" applyAlignment="1">
      <alignment vertical="center"/>
    </xf>
    <xf numFmtId="0" fontId="30" fillId="0" borderId="0" xfId="0" applyFont="1" applyFill="1" applyBorder="1" applyAlignment="1">
      <alignment horizontal="left" wrapText="1"/>
    </xf>
    <xf numFmtId="3" fontId="77" fillId="0" borderId="0" xfId="0" applyNumberFormat="1" applyFont="1" applyFill="1" applyBorder="1" applyAlignment="1">
      <alignment horizontal="left" vertical="top" wrapText="1"/>
    </xf>
    <xf numFmtId="9" fontId="36" fillId="0" borderId="13" xfId="63" applyNumberFormat="1" applyFont="1" applyFill="1" applyBorder="1" applyAlignment="1">
      <alignment vertical="center" wrapText="1"/>
    </xf>
    <xf numFmtId="171" fontId="36" fillId="0" borderId="13" xfId="63" applyFont="1" applyBorder="1" applyAlignment="1">
      <alignment vertical="center" wrapText="1"/>
    </xf>
    <xf numFmtId="49" fontId="36" fillId="0" borderId="16" xfId="63" applyNumberFormat="1" applyFont="1" applyFill="1" applyBorder="1" applyAlignment="1">
      <alignment horizontal="center" vertical="center" wrapText="1"/>
    </xf>
    <xf numFmtId="171" fontId="36" fillId="0" borderId="13" xfId="63" applyFont="1" applyBorder="1" applyAlignment="1">
      <alignment horizontal="center" vertical="center" wrapText="1"/>
    </xf>
    <xf numFmtId="0" fontId="153" fillId="0" borderId="0" xfId="0" applyFont="1" applyBorder="1" applyAlignment="1">
      <alignment/>
    </xf>
    <xf numFmtId="0" fontId="153" fillId="0" borderId="0" xfId="0" applyNumberFormat="1" applyFont="1" applyBorder="1" applyAlignment="1">
      <alignment horizontal="left" vertical="top" wrapText="1"/>
    </xf>
    <xf numFmtId="0" fontId="153" fillId="0" borderId="0" xfId="0" applyFont="1" applyAlignment="1">
      <alignment/>
    </xf>
    <xf numFmtId="171" fontId="36" fillId="0" borderId="12" xfId="63" applyFont="1" applyFill="1" applyBorder="1" applyAlignment="1">
      <alignment horizontal="left" wrapText="1"/>
    </xf>
    <xf numFmtId="0" fontId="22" fillId="56" borderId="13" xfId="0" applyFont="1" applyFill="1" applyBorder="1" applyAlignment="1">
      <alignment horizontal="center"/>
    </xf>
    <xf numFmtId="49" fontId="84" fillId="0" borderId="13" xfId="0" applyNumberFormat="1" applyFont="1" applyFill="1" applyBorder="1" applyAlignment="1">
      <alignment horizontal="right" vertical="top" wrapText="1"/>
    </xf>
    <xf numFmtId="171" fontId="19" fillId="0" borderId="13" xfId="63" applyFont="1" applyFill="1" applyBorder="1" applyAlignment="1">
      <alignment/>
    </xf>
    <xf numFmtId="171" fontId="19" fillId="56" borderId="13" xfId="63" applyFont="1" applyFill="1" applyBorder="1" applyAlignment="1">
      <alignment/>
    </xf>
    <xf numFmtId="171" fontId="19" fillId="59" borderId="13" xfId="63" applyFont="1" applyFill="1" applyBorder="1" applyAlignment="1">
      <alignment/>
    </xf>
    <xf numFmtId="171" fontId="19" fillId="0" borderId="13" xfId="63" applyFont="1" applyBorder="1" applyAlignment="1">
      <alignment/>
    </xf>
    <xf numFmtId="171" fontId="152" fillId="59" borderId="13" xfId="63" applyFont="1" applyFill="1" applyBorder="1" applyAlignment="1">
      <alignment/>
    </xf>
    <xf numFmtId="0" fontId="88" fillId="0" borderId="17" xfId="0" applyFont="1" applyFill="1" applyBorder="1" applyAlignment="1" applyProtection="1">
      <alignment vertical="center"/>
      <protection/>
    </xf>
    <xf numFmtId="10" fontId="29" fillId="0" borderId="14" xfId="52" applyNumberFormat="1" applyFont="1" applyFill="1" applyBorder="1" applyAlignment="1">
      <alignment vertical="center"/>
    </xf>
    <xf numFmtId="10" fontId="29" fillId="0" borderId="18" xfId="52" applyNumberFormat="1" applyFont="1" applyFill="1" applyBorder="1" applyAlignment="1">
      <alignment vertical="center"/>
    </xf>
    <xf numFmtId="10" fontId="29" fillId="0" borderId="14" xfId="52" applyNumberFormat="1" applyFont="1" applyFill="1" applyBorder="1" applyAlignment="1">
      <alignment vertical="center"/>
    </xf>
    <xf numFmtId="10" fontId="29" fillId="0" borderId="18" xfId="52" applyNumberFormat="1" applyFont="1" applyFill="1" applyBorder="1" applyAlignment="1">
      <alignment vertical="center"/>
    </xf>
    <xf numFmtId="0" fontId="29" fillId="41" borderId="14" xfId="0" applyFont="1" applyFill="1" applyBorder="1" applyAlignment="1">
      <alignment vertical="center"/>
    </xf>
    <xf numFmtId="0" fontId="29" fillId="41" borderId="18" xfId="0" applyFont="1" applyFill="1" applyBorder="1" applyAlignment="1">
      <alignment vertical="center"/>
    </xf>
    <xf numFmtId="0" fontId="29" fillId="60" borderId="16" xfId="0" applyFont="1" applyFill="1" applyBorder="1" applyAlignment="1">
      <alignment horizontal="center" wrapText="1"/>
    </xf>
    <xf numFmtId="0" fontId="88" fillId="0" borderId="16" xfId="0" applyFont="1" applyFill="1" applyBorder="1" applyAlignment="1">
      <alignment horizontal="center" vertical="center" wrapText="1"/>
    </xf>
    <xf numFmtId="0" fontId="88" fillId="36" borderId="13" xfId="0" applyFont="1" applyFill="1" applyBorder="1" applyAlignment="1" applyProtection="1">
      <alignment horizontal="center" vertical="center" wrapText="1"/>
      <protection/>
    </xf>
    <xf numFmtId="171" fontId="88" fillId="34" borderId="13" xfId="63" applyNumberFormat="1" applyFont="1" applyFill="1" applyBorder="1" applyAlignment="1" applyProtection="1">
      <alignment vertical="center"/>
      <protection/>
    </xf>
    <xf numFmtId="171" fontId="88" fillId="36" borderId="13" xfId="63" applyNumberFormat="1" applyFont="1" applyFill="1" applyBorder="1" applyAlignment="1" applyProtection="1">
      <alignment vertical="center"/>
      <protection/>
    </xf>
    <xf numFmtId="171" fontId="88" fillId="33" borderId="13" xfId="63" applyNumberFormat="1" applyFont="1" applyFill="1" applyBorder="1" applyAlignment="1" applyProtection="1">
      <alignment vertical="center"/>
      <protection/>
    </xf>
    <xf numFmtId="171" fontId="88" fillId="42" borderId="13" xfId="63" applyNumberFormat="1" applyFont="1" applyFill="1" applyBorder="1" applyAlignment="1" applyProtection="1">
      <alignment vertical="center"/>
      <protection/>
    </xf>
    <xf numFmtId="171" fontId="88" fillId="34" borderId="13" xfId="63" applyNumberFormat="1" applyFont="1" applyFill="1" applyBorder="1" applyAlignment="1" applyProtection="1">
      <alignment horizontal="left" vertical="center" indent="1"/>
      <protection/>
    </xf>
    <xf numFmtId="171" fontId="88" fillId="33" borderId="13" xfId="63" applyNumberFormat="1" applyFont="1" applyFill="1" applyBorder="1" applyAlignment="1" applyProtection="1">
      <alignment vertical="center"/>
      <protection locked="0"/>
    </xf>
    <xf numFmtId="0" fontId="30" fillId="0" borderId="0" xfId="0" applyFont="1" applyFill="1" applyBorder="1" applyAlignment="1">
      <alignment/>
    </xf>
    <xf numFmtId="0" fontId="30" fillId="0" borderId="0" xfId="0" applyFont="1" applyFill="1" applyBorder="1" applyAlignment="1">
      <alignment horizontal="left" wrapText="1"/>
    </xf>
    <xf numFmtId="0" fontId="95" fillId="6" borderId="13" xfId="0" applyFont="1" applyFill="1" applyBorder="1" applyAlignment="1" applyProtection="1">
      <alignment vertical="center"/>
      <protection/>
    </xf>
    <xf numFmtId="0" fontId="93" fillId="0" borderId="17" xfId="0" applyFont="1" applyFill="1" applyBorder="1" applyAlignment="1">
      <alignment vertical="center"/>
    </xf>
    <xf numFmtId="0" fontId="154" fillId="0" borderId="13" xfId="0" applyFont="1" applyFill="1" applyBorder="1" applyAlignment="1">
      <alignment horizontal="center"/>
    </xf>
    <xf numFmtId="0" fontId="155" fillId="0" borderId="13" xfId="0" applyFont="1" applyFill="1" applyBorder="1" applyAlignment="1" applyProtection="1">
      <alignment wrapText="1"/>
      <protection/>
    </xf>
    <xf numFmtId="10" fontId="155" fillId="0" borderId="13" xfId="52" applyNumberFormat="1" applyFont="1" applyFill="1" applyBorder="1" applyAlignment="1" applyProtection="1">
      <alignment horizontal="center"/>
      <protection locked="0"/>
    </xf>
    <xf numFmtId="0" fontId="155" fillId="0" borderId="13" xfId="0" applyFont="1" applyFill="1" applyBorder="1" applyAlignment="1">
      <alignment/>
    </xf>
    <xf numFmtId="10" fontId="155" fillId="0" borderId="13" xfId="0" applyNumberFormat="1" applyFont="1" applyFill="1" applyBorder="1" applyAlignment="1" applyProtection="1">
      <alignment horizontal="center"/>
      <protection locked="0"/>
    </xf>
    <xf numFmtId="0" fontId="155" fillId="0" borderId="13" xfId="0" applyFont="1" applyFill="1" applyBorder="1" applyAlignment="1" applyProtection="1">
      <alignment wrapText="1"/>
      <protection locked="0"/>
    </xf>
    <xf numFmtId="171" fontId="88" fillId="57" borderId="13" xfId="63" applyFont="1" applyFill="1" applyBorder="1" applyAlignment="1">
      <alignment vertical="center"/>
    </xf>
    <xf numFmtId="0" fontId="88" fillId="0" borderId="17" xfId="0" applyFont="1" applyFill="1" applyBorder="1" applyAlignment="1" applyProtection="1">
      <alignment horizontal="center" vertical="center"/>
      <protection/>
    </xf>
    <xf numFmtId="171" fontId="156" fillId="57" borderId="13" xfId="63" applyFont="1" applyFill="1" applyBorder="1" applyAlignment="1">
      <alignment vertical="center"/>
    </xf>
    <xf numFmtId="171" fontId="93" fillId="57" borderId="13" xfId="63" applyFont="1" applyFill="1" applyBorder="1" applyAlignment="1">
      <alignment vertical="center"/>
    </xf>
    <xf numFmtId="171" fontId="150" fillId="57" borderId="13" xfId="63" applyFont="1" applyFill="1" applyBorder="1" applyAlignment="1">
      <alignment vertical="center"/>
    </xf>
    <xf numFmtId="171" fontId="36" fillId="0" borderId="14" xfId="63" applyFont="1" applyFill="1" applyBorder="1" applyAlignment="1" applyProtection="1">
      <alignment horizontal="left" vertical="center" indent="2"/>
      <protection locked="0"/>
    </xf>
    <xf numFmtId="171" fontId="36" fillId="0" borderId="13" xfId="63" applyFont="1" applyFill="1" applyBorder="1" applyAlignment="1" applyProtection="1">
      <alignment horizontal="left" vertical="center" indent="2"/>
      <protection locked="0"/>
    </xf>
    <xf numFmtId="171" fontId="30" fillId="61" borderId="13" xfId="63" applyFont="1" applyFill="1" applyBorder="1" applyAlignment="1">
      <alignment wrapText="1"/>
    </xf>
    <xf numFmtId="0" fontId="41" fillId="36" borderId="18" xfId="0" applyFont="1" applyFill="1" applyBorder="1" applyAlignment="1" applyProtection="1">
      <alignment horizontal="center" vertical="center" wrapText="1"/>
      <protection/>
    </xf>
    <xf numFmtId="178" fontId="95" fillId="0" borderId="14" xfId="0" applyNumberFormat="1" applyFont="1" applyFill="1" applyBorder="1" applyAlignment="1" applyProtection="1">
      <alignment horizontal="center" vertical="center" wrapText="1"/>
      <protection/>
    </xf>
    <xf numFmtId="17" fontId="94" fillId="36" borderId="13" xfId="0" applyNumberFormat="1" applyFont="1" applyFill="1" applyBorder="1" applyAlignment="1" applyProtection="1">
      <alignment horizontal="center" vertical="center"/>
      <protection/>
    </xf>
    <xf numFmtId="0" fontId="150" fillId="36" borderId="13" xfId="0" applyFont="1" applyFill="1" applyBorder="1" applyAlignment="1" applyProtection="1">
      <alignment vertical="center"/>
      <protection/>
    </xf>
    <xf numFmtId="0" fontId="95" fillId="36" borderId="13" xfId="63" applyNumberFormat="1" applyFont="1" applyFill="1" applyBorder="1" applyAlignment="1" applyProtection="1">
      <alignment vertical="center"/>
      <protection/>
    </xf>
    <xf numFmtId="171" fontId="37" fillId="61" borderId="13" xfId="63" applyFont="1" applyFill="1" applyBorder="1" applyAlignment="1" applyProtection="1">
      <alignment vertical="center"/>
      <protection/>
    </xf>
    <xf numFmtId="1" fontId="37" fillId="61" borderId="13" xfId="63" applyNumberFormat="1" applyFont="1" applyFill="1" applyBorder="1" applyAlignment="1" applyProtection="1">
      <alignment horizontal="center" vertical="center" wrapText="1"/>
      <protection/>
    </xf>
    <xf numFmtId="10" fontId="37" fillId="61" borderId="13" xfId="52" applyNumberFormat="1" applyFont="1" applyFill="1" applyBorder="1" applyAlignment="1" applyProtection="1">
      <alignment vertical="center"/>
      <protection/>
    </xf>
    <xf numFmtId="0" fontId="15" fillId="0" borderId="0" xfId="0" applyFont="1" applyBorder="1" applyAlignment="1">
      <alignment wrapText="1"/>
    </xf>
    <xf numFmtId="0" fontId="20" fillId="61" borderId="13" xfId="0" applyFont="1" applyFill="1" applyBorder="1" applyAlignment="1">
      <alignment horizontal="center" wrapText="1"/>
    </xf>
    <xf numFmtId="171" fontId="30" fillId="61" borderId="13" xfId="63" applyNumberFormat="1" applyFont="1" applyFill="1" applyBorder="1" applyAlignment="1" applyProtection="1">
      <alignment vertical="center"/>
      <protection/>
    </xf>
    <xf numFmtId="171" fontId="30" fillId="0" borderId="13" xfId="63" applyNumberFormat="1" applyFont="1" applyFill="1" applyBorder="1" applyAlignment="1" applyProtection="1">
      <alignment vertical="center"/>
      <protection/>
    </xf>
    <xf numFmtId="171" fontId="19" fillId="0" borderId="0" xfId="63" applyFont="1" applyFill="1" applyAlignment="1">
      <alignment vertical="center"/>
    </xf>
    <xf numFmtId="43" fontId="0" fillId="0" borderId="0" xfId="0" applyNumberFormat="1" applyFont="1" applyAlignment="1">
      <alignment vertical="center"/>
    </xf>
    <xf numFmtId="49" fontId="29" fillId="61" borderId="13" xfId="0" applyNumberFormat="1" applyFont="1" applyFill="1" applyBorder="1" applyAlignment="1" applyProtection="1">
      <alignment horizontal="center" vertical="center" wrapText="1"/>
      <protection/>
    </xf>
    <xf numFmtId="171" fontId="25" fillId="61" borderId="13" xfId="63" applyNumberFormat="1" applyFont="1" applyFill="1" applyBorder="1" applyAlignment="1" applyProtection="1">
      <alignment vertical="center"/>
      <protection/>
    </xf>
    <xf numFmtId="171" fontId="25" fillId="62" borderId="13" xfId="63" applyNumberFormat="1" applyFont="1" applyFill="1" applyBorder="1" applyAlignment="1" applyProtection="1">
      <alignment vertical="center"/>
      <protection/>
    </xf>
    <xf numFmtId="0" fontId="94" fillId="63" borderId="13" xfId="0" applyFont="1" applyFill="1" applyBorder="1" applyAlignment="1" applyProtection="1">
      <alignment vertical="center"/>
      <protection/>
    </xf>
    <xf numFmtId="1" fontId="88" fillId="63" borderId="13" xfId="0" applyNumberFormat="1" applyFont="1" applyFill="1" applyBorder="1" applyAlignment="1">
      <alignment horizontal="center" vertical="center"/>
    </xf>
    <xf numFmtId="171" fontId="95" fillId="63" borderId="13" xfId="63" applyNumberFormat="1" applyFont="1" applyFill="1" applyBorder="1" applyAlignment="1" applyProtection="1">
      <alignment vertical="center"/>
      <protection locked="0"/>
    </xf>
    <xf numFmtId="204" fontId="88" fillId="63" borderId="13" xfId="63" applyNumberFormat="1" applyFont="1" applyFill="1" applyBorder="1" applyAlignment="1">
      <alignment vertical="center"/>
    </xf>
    <xf numFmtId="171" fontId="88" fillId="63" borderId="13" xfId="63" applyFont="1" applyFill="1" applyBorder="1" applyAlignment="1">
      <alignment vertical="center"/>
    </xf>
    <xf numFmtId="10" fontId="37" fillId="57" borderId="13" xfId="52" applyNumberFormat="1" applyFont="1" applyFill="1" applyBorder="1" applyAlignment="1" applyProtection="1">
      <alignment vertical="center"/>
      <protection/>
    </xf>
    <xf numFmtId="177" fontId="93" fillId="0" borderId="13" xfId="63" applyNumberFormat="1" applyFont="1" applyFill="1" applyBorder="1" applyAlignment="1">
      <alignment horizontal="center" vertical="center"/>
    </xf>
    <xf numFmtId="177" fontId="93" fillId="34" borderId="13" xfId="63" applyNumberFormat="1" applyFont="1" applyFill="1" applyBorder="1" applyAlignment="1">
      <alignment horizontal="center" vertical="center" wrapText="1"/>
    </xf>
    <xf numFmtId="177" fontId="93" fillId="7" borderId="13" xfId="63" applyNumberFormat="1" applyFont="1" applyFill="1" applyBorder="1" applyAlignment="1">
      <alignment horizontal="center" vertical="center" wrapText="1"/>
    </xf>
    <xf numFmtId="177" fontId="22" fillId="7" borderId="13" xfId="63" applyNumberFormat="1" applyFont="1" applyFill="1" applyBorder="1" applyAlignment="1">
      <alignment vertical="center" wrapText="1"/>
    </xf>
    <xf numFmtId="178" fontId="17" fillId="57" borderId="13" xfId="0" applyNumberFormat="1" applyFont="1" applyFill="1" applyBorder="1" applyAlignment="1" applyProtection="1">
      <alignment horizontal="center" vertical="center" wrapText="1"/>
      <protection/>
    </xf>
    <xf numFmtId="178" fontId="17" fillId="0" borderId="23" xfId="0" applyNumberFormat="1" applyFont="1" applyFill="1" applyBorder="1" applyAlignment="1" applyProtection="1">
      <alignment horizontal="center" vertical="center"/>
      <protection/>
    </xf>
    <xf numFmtId="178" fontId="106" fillId="0" borderId="13" xfId="0" applyNumberFormat="1" applyFont="1" applyFill="1" applyBorder="1" applyAlignment="1" applyProtection="1">
      <alignment horizontal="center" vertical="center" wrapText="1"/>
      <protection/>
    </xf>
    <xf numFmtId="171" fontId="36" fillId="64" borderId="13" xfId="63" applyFont="1" applyFill="1" applyBorder="1" applyAlignment="1">
      <alignment vertical="center"/>
    </xf>
    <xf numFmtId="0" fontId="30" fillId="64" borderId="13" xfId="0" applyFont="1" applyFill="1" applyBorder="1" applyAlignment="1">
      <alignment vertical="center" wrapText="1"/>
    </xf>
    <xf numFmtId="0" fontId="36" fillId="64" borderId="13" xfId="0" applyFont="1" applyFill="1" applyBorder="1" applyAlignment="1">
      <alignment horizontal="center" vertical="center" wrapText="1"/>
    </xf>
    <xf numFmtId="0" fontId="29" fillId="64" borderId="13" xfId="0" applyFont="1" applyFill="1" applyBorder="1" applyAlignment="1">
      <alignment horizontal="center" vertical="center"/>
    </xf>
    <xf numFmtId="0" fontId="32" fillId="37" borderId="22" xfId="0" applyFont="1" applyFill="1" applyBorder="1" applyAlignment="1">
      <alignment horizontal="left" wrapText="1"/>
    </xf>
    <xf numFmtId="171" fontId="36" fillId="58" borderId="13" xfId="63" applyFont="1" applyFill="1" applyBorder="1" applyAlignment="1">
      <alignment wrapText="1"/>
    </xf>
    <xf numFmtId="171" fontId="36" fillId="58" borderId="17" xfId="63" applyFont="1" applyFill="1" applyBorder="1" applyAlignment="1">
      <alignment wrapText="1"/>
    </xf>
    <xf numFmtId="0" fontId="29" fillId="58" borderId="16" xfId="0" applyFont="1" applyFill="1" applyBorder="1" applyAlignment="1">
      <alignment horizontal="center" wrapText="1"/>
    </xf>
    <xf numFmtId="171" fontId="34" fillId="58" borderId="13" xfId="63" applyFont="1" applyFill="1" applyBorder="1" applyAlignment="1">
      <alignment horizontal="center" wrapText="1"/>
    </xf>
    <xf numFmtId="171" fontId="29" fillId="0" borderId="17" xfId="63" applyFont="1" applyFill="1" applyBorder="1" applyAlignment="1">
      <alignment wrapText="1"/>
    </xf>
    <xf numFmtId="0" fontId="103" fillId="0" borderId="13" xfId="0" applyFont="1" applyFill="1" applyBorder="1" applyAlignment="1">
      <alignment horizontal="left" wrapText="1"/>
    </xf>
    <xf numFmtId="0" fontId="19" fillId="0" borderId="14" xfId="0" applyFont="1" applyBorder="1" applyAlignment="1">
      <alignment vertical="center"/>
    </xf>
    <xf numFmtId="0" fontId="19" fillId="0" borderId="10" xfId="0" applyFont="1" applyBorder="1" applyAlignment="1">
      <alignment vertical="center"/>
    </xf>
    <xf numFmtId="0" fontId="29" fillId="0" borderId="13" xfId="0" applyFont="1" applyFill="1" applyBorder="1" applyAlignment="1">
      <alignment horizontal="center" vertical="center"/>
    </xf>
    <xf numFmtId="0" fontId="19" fillId="52" borderId="18" xfId="0" applyFont="1" applyFill="1" applyBorder="1" applyAlignment="1">
      <alignment horizontal="center" vertical="center"/>
    </xf>
    <xf numFmtId="171" fontId="29" fillId="65" borderId="13" xfId="63" applyFont="1" applyFill="1" applyBorder="1" applyAlignment="1">
      <alignment wrapText="1"/>
    </xf>
    <xf numFmtId="171" fontId="30" fillId="66" borderId="13" xfId="63" applyFont="1" applyFill="1" applyBorder="1" applyAlignment="1">
      <alignment wrapText="1"/>
    </xf>
    <xf numFmtId="171" fontId="34" fillId="0" borderId="13" xfId="63" applyFont="1" applyFill="1" applyBorder="1" applyAlignment="1">
      <alignment horizontal="center" vertical="center" wrapText="1"/>
    </xf>
    <xf numFmtId="3" fontId="77" fillId="57" borderId="13" xfId="0" applyNumberFormat="1" applyFont="1" applyFill="1" applyBorder="1" applyAlignment="1">
      <alignment horizontal="center" vertical="center"/>
    </xf>
    <xf numFmtId="221" fontId="19" fillId="57" borderId="0" xfId="0" applyNumberFormat="1" applyFont="1" applyFill="1" applyAlignment="1">
      <alignment horizontal="center" vertical="center"/>
    </xf>
    <xf numFmtId="3" fontId="77" fillId="0" borderId="13" xfId="0" applyNumberFormat="1" applyFont="1" applyFill="1" applyBorder="1" applyAlignment="1">
      <alignment horizontal="center" vertical="center"/>
    </xf>
    <xf numFmtId="49" fontId="74" fillId="0" borderId="26" xfId="0" applyNumberFormat="1" applyFont="1" applyFill="1" applyBorder="1" applyAlignment="1">
      <alignment horizontal="center" vertical="center"/>
    </xf>
    <xf numFmtId="3" fontId="77" fillId="37" borderId="25" xfId="0" applyNumberFormat="1" applyFont="1" applyFill="1" applyBorder="1" applyAlignment="1">
      <alignment horizontal="center" vertical="center"/>
    </xf>
    <xf numFmtId="3" fontId="77" fillId="37" borderId="36" xfId="0" applyNumberFormat="1" applyFont="1" applyFill="1" applyBorder="1" applyAlignment="1">
      <alignment horizontal="center" vertical="center"/>
    </xf>
    <xf numFmtId="3" fontId="77" fillId="0" borderId="37" xfId="0" applyNumberFormat="1" applyFont="1" applyFill="1" applyBorder="1" applyAlignment="1">
      <alignment/>
    </xf>
    <xf numFmtId="3" fontId="77" fillId="0" borderId="38" xfId="0" applyNumberFormat="1" applyFont="1" applyFill="1" applyBorder="1" applyAlignment="1">
      <alignment/>
    </xf>
    <xf numFmtId="3" fontId="77" fillId="37" borderId="16" xfId="0" applyNumberFormat="1" applyFont="1" applyFill="1" applyBorder="1" applyAlignment="1">
      <alignment horizontal="center" vertical="center"/>
    </xf>
    <xf numFmtId="3" fontId="77" fillId="37" borderId="39" xfId="0" applyNumberFormat="1" applyFont="1" applyFill="1" applyBorder="1" applyAlignment="1">
      <alignment horizontal="center" vertical="center"/>
    </xf>
    <xf numFmtId="3" fontId="77" fillId="0" borderId="34" xfId="0" applyNumberFormat="1" applyFont="1" applyFill="1" applyBorder="1" applyAlignment="1">
      <alignment/>
    </xf>
    <xf numFmtId="4" fontId="77" fillId="0" borderId="13" xfId="0" applyNumberFormat="1" applyFont="1" applyFill="1" applyBorder="1" applyAlignment="1">
      <alignment horizontal="center" vertical="center"/>
    </xf>
    <xf numFmtId="4" fontId="77" fillId="55" borderId="34" xfId="0" applyNumberFormat="1" applyFont="1" applyFill="1" applyBorder="1" applyAlignment="1">
      <alignment horizontal="center" vertical="center"/>
    </xf>
    <xf numFmtId="0" fontId="19" fillId="58" borderId="25" xfId="0" applyFont="1" applyFill="1" applyBorder="1" applyAlignment="1">
      <alignment/>
    </xf>
    <xf numFmtId="3" fontId="77" fillId="58" borderId="31" xfId="0" applyNumberFormat="1" applyFont="1" applyFill="1" applyBorder="1" applyAlignment="1">
      <alignment horizontal="center" vertical="center"/>
    </xf>
    <xf numFmtId="3" fontId="77" fillId="41" borderId="36" xfId="0" applyNumberFormat="1" applyFont="1" applyFill="1" applyBorder="1" applyAlignment="1">
      <alignment horizontal="center" vertical="center"/>
    </xf>
    <xf numFmtId="3" fontId="77" fillId="41" borderId="34" xfId="0" applyNumberFormat="1" applyFont="1" applyFill="1" applyBorder="1" applyAlignment="1">
      <alignment horizontal="center" vertical="center"/>
    </xf>
    <xf numFmtId="3" fontId="77" fillId="41" borderId="37" xfId="0" applyNumberFormat="1" applyFont="1" applyFill="1" applyBorder="1" applyAlignment="1">
      <alignment/>
    </xf>
    <xf numFmtId="3" fontId="84" fillId="0" borderId="28" xfId="0" applyNumberFormat="1" applyFont="1" applyBorder="1" applyAlignment="1">
      <alignment horizontal="left" vertical="top"/>
    </xf>
    <xf numFmtId="3" fontId="77" fillId="3" borderId="13" xfId="0" applyNumberFormat="1" applyFont="1" applyFill="1" applyBorder="1" applyAlignment="1">
      <alignment horizontal="center" vertical="center"/>
    </xf>
    <xf numFmtId="49" fontId="74" fillId="58" borderId="26" xfId="0" applyNumberFormat="1" applyFont="1" applyFill="1" applyBorder="1" applyAlignment="1">
      <alignment horizontal="center" vertical="center"/>
    </xf>
    <xf numFmtId="3" fontId="78" fillId="0" borderId="0" xfId="0" applyNumberFormat="1" applyFont="1" applyFill="1" applyBorder="1" applyAlignment="1">
      <alignment horizontal="right" vertical="center"/>
    </xf>
    <xf numFmtId="171" fontId="19" fillId="57" borderId="13" xfId="63" applyFont="1" applyFill="1" applyBorder="1" applyAlignment="1">
      <alignment/>
    </xf>
    <xf numFmtId="0" fontId="29" fillId="37" borderId="14" xfId="0" applyFont="1" applyFill="1" applyBorder="1" applyAlignment="1">
      <alignment vertical="center" wrapText="1"/>
    </xf>
    <xf numFmtId="171" fontId="29" fillId="37" borderId="13" xfId="63" applyFont="1" applyFill="1" applyBorder="1" applyAlignment="1">
      <alignment horizontal="center" vertical="center"/>
    </xf>
    <xf numFmtId="0" fontId="29" fillId="37" borderId="13" xfId="0" applyFont="1" applyFill="1" applyBorder="1" applyAlignment="1">
      <alignment horizontal="center" vertical="center"/>
    </xf>
    <xf numFmtId="0" fontId="36" fillId="42" borderId="13" xfId="0" applyFont="1" applyFill="1" applyBorder="1" applyAlignment="1">
      <alignment horizontal="center" vertical="center"/>
    </xf>
    <xf numFmtId="0" fontId="30" fillId="37" borderId="13" xfId="0" applyFont="1" applyFill="1" applyBorder="1" applyAlignment="1">
      <alignment vertical="center" wrapText="1"/>
    </xf>
    <xf numFmtId="0" fontId="19" fillId="0" borderId="11" xfId="0" applyFont="1" applyFill="1" applyBorder="1" applyAlignment="1">
      <alignment horizontal="left" wrapText="1"/>
    </xf>
    <xf numFmtId="0" fontId="157" fillId="0" borderId="10" xfId="0" applyFont="1" applyFill="1" applyBorder="1" applyAlignment="1">
      <alignment horizontal="center" wrapText="1"/>
    </xf>
    <xf numFmtId="0" fontId="157" fillId="0" borderId="18" xfId="0" applyFont="1" applyFill="1" applyBorder="1" applyAlignment="1">
      <alignment horizontal="center" wrapText="1"/>
    </xf>
    <xf numFmtId="0" fontId="32" fillId="0" borderId="13" xfId="0" applyFont="1" applyFill="1" applyBorder="1" applyAlignment="1">
      <alignment horizontal="center" wrapText="1"/>
    </xf>
    <xf numFmtId="0" fontId="18" fillId="0" borderId="14" xfId="0" applyFont="1" applyFill="1" applyBorder="1" applyAlignment="1">
      <alignment wrapText="1"/>
    </xf>
    <xf numFmtId="0" fontId="18" fillId="0" borderId="10" xfId="0" applyFont="1" applyFill="1" applyBorder="1" applyAlignment="1">
      <alignment wrapText="1"/>
    </xf>
    <xf numFmtId="0" fontId="18" fillId="0" borderId="18" xfId="0" applyFont="1" applyFill="1" applyBorder="1" applyAlignment="1">
      <alignment wrapText="1"/>
    </xf>
    <xf numFmtId="0" fontId="39" fillId="0" borderId="15" xfId="0" applyFont="1" applyFill="1" applyBorder="1" applyAlignment="1">
      <alignment horizontal="center" wrapText="1"/>
    </xf>
    <xf numFmtId="0" fontId="39" fillId="0" borderId="12" xfId="0" applyFont="1" applyFill="1" applyBorder="1" applyAlignment="1">
      <alignment horizontal="center" wrapText="1"/>
    </xf>
    <xf numFmtId="0" fontId="39" fillId="0" borderId="20" xfId="0" applyFont="1" applyFill="1" applyBorder="1" applyAlignment="1">
      <alignment horizontal="center" wrapText="1"/>
    </xf>
    <xf numFmtId="0" fontId="11" fillId="0" borderId="14" xfId="0" applyFont="1" applyFill="1" applyBorder="1" applyAlignment="1">
      <alignment horizontal="left"/>
    </xf>
    <xf numFmtId="0" fontId="11" fillId="0" borderId="10" xfId="0" applyFont="1" applyFill="1" applyBorder="1" applyAlignment="1">
      <alignment horizontal="left"/>
    </xf>
    <xf numFmtId="0" fontId="11" fillId="0" borderId="18" xfId="0" applyFont="1" applyFill="1" applyBorder="1" applyAlignment="1">
      <alignment horizontal="left"/>
    </xf>
    <xf numFmtId="0" fontId="38" fillId="0" borderId="23" xfId="0" applyFont="1" applyFill="1" applyBorder="1" applyAlignment="1">
      <alignment horizontal="center" wrapText="1"/>
    </xf>
    <xf numFmtId="0" fontId="38" fillId="0" borderId="0" xfId="0" applyFont="1" applyFill="1" applyBorder="1" applyAlignment="1">
      <alignment horizontal="center" wrapText="1"/>
    </xf>
    <xf numFmtId="0" fontId="38" fillId="0" borderId="19" xfId="0" applyFont="1" applyFill="1" applyBorder="1" applyAlignment="1">
      <alignment horizontal="center" wrapText="1"/>
    </xf>
    <xf numFmtId="0" fontId="39" fillId="0" borderId="23" xfId="0" applyFont="1" applyFill="1" applyBorder="1" applyAlignment="1">
      <alignment horizontal="center" wrapText="1"/>
    </xf>
    <xf numFmtId="0" fontId="39" fillId="0" borderId="0" xfId="0" applyFont="1" applyFill="1" applyBorder="1" applyAlignment="1">
      <alignment horizontal="center" wrapText="1"/>
    </xf>
    <xf numFmtId="0" fontId="39" fillId="0" borderId="19" xfId="0" applyFont="1" applyFill="1" applyBorder="1" applyAlignment="1">
      <alignment horizontal="center" wrapText="1"/>
    </xf>
    <xf numFmtId="0" fontId="40" fillId="0" borderId="23" xfId="0" applyFont="1" applyFill="1" applyBorder="1" applyAlignment="1">
      <alignment horizontal="center" wrapText="1"/>
    </xf>
    <xf numFmtId="0" fontId="40" fillId="0" borderId="0" xfId="0" applyFont="1" applyFill="1" applyBorder="1" applyAlignment="1">
      <alignment horizontal="center" wrapText="1"/>
    </xf>
    <xf numFmtId="0" fontId="40" fillId="0" borderId="19" xfId="0" applyFont="1" applyFill="1" applyBorder="1" applyAlignment="1">
      <alignment horizontal="center" wrapText="1"/>
    </xf>
    <xf numFmtId="0" fontId="32" fillId="0" borderId="14" xfId="0" applyFont="1" applyFill="1" applyBorder="1" applyAlignment="1">
      <alignment horizontal="center" wrapText="1"/>
    </xf>
    <xf numFmtId="0" fontId="32" fillId="0" borderId="10" xfId="0" applyFont="1" applyFill="1" applyBorder="1" applyAlignment="1">
      <alignment horizontal="center" wrapText="1"/>
    </xf>
    <xf numFmtId="0" fontId="158" fillId="0" borderId="0" xfId="0" applyFont="1" applyFill="1" applyBorder="1" applyAlignment="1">
      <alignment horizontal="center" wrapText="1"/>
    </xf>
    <xf numFmtId="0" fontId="30" fillId="0" borderId="0" xfId="0" applyFont="1" applyFill="1" applyBorder="1" applyAlignment="1">
      <alignment horizontal="center"/>
    </xf>
    <xf numFmtId="0" fontId="30" fillId="0" borderId="0" xfId="0" applyFont="1" applyFill="1" applyBorder="1" applyAlignment="1">
      <alignment horizontal="center"/>
    </xf>
    <xf numFmtId="178" fontId="95" fillId="0" borderId="22" xfId="0" applyNumberFormat="1" applyFont="1" applyFill="1" applyBorder="1" applyAlignment="1" applyProtection="1">
      <alignment horizontal="center" vertical="center" wrapText="1"/>
      <protection/>
    </xf>
    <xf numFmtId="178" fontId="95" fillId="0" borderId="40" xfId="0" applyNumberFormat="1" applyFont="1" applyFill="1" applyBorder="1" applyAlignment="1" applyProtection="1">
      <alignment horizontal="center" vertical="center" wrapText="1"/>
      <protection/>
    </xf>
    <xf numFmtId="178" fontId="95" fillId="0" borderId="23" xfId="0" applyNumberFormat="1" applyFont="1" applyFill="1" applyBorder="1" applyAlignment="1" applyProtection="1">
      <alignment horizontal="center" vertical="center" wrapText="1"/>
      <protection/>
    </xf>
    <xf numFmtId="178" fontId="95" fillId="0" borderId="19" xfId="0" applyNumberFormat="1" applyFont="1" applyFill="1" applyBorder="1" applyAlignment="1" applyProtection="1">
      <alignment horizontal="center" vertical="center" wrapText="1"/>
      <protection/>
    </xf>
    <xf numFmtId="178" fontId="95" fillId="0" borderId="15" xfId="0" applyNumberFormat="1" applyFont="1" applyFill="1" applyBorder="1" applyAlignment="1" applyProtection="1">
      <alignment horizontal="center" vertical="center" wrapText="1"/>
      <protection/>
    </xf>
    <xf numFmtId="178" fontId="95" fillId="0" borderId="20" xfId="0" applyNumberFormat="1" applyFont="1" applyFill="1" applyBorder="1" applyAlignment="1" applyProtection="1">
      <alignment horizontal="center" vertical="center" wrapText="1"/>
      <protection/>
    </xf>
    <xf numFmtId="0" fontId="93" fillId="53" borderId="14" xfId="0" applyFont="1" applyFill="1" applyBorder="1" applyAlignment="1">
      <alignment horizontal="center" vertical="center" wrapText="1"/>
    </xf>
    <xf numFmtId="0" fontId="93" fillId="53" borderId="10" xfId="0" applyFont="1" applyFill="1" applyBorder="1" applyAlignment="1">
      <alignment horizontal="center" vertical="center" wrapText="1"/>
    </xf>
    <xf numFmtId="0" fontId="93" fillId="53" borderId="18" xfId="0" applyFont="1" applyFill="1" applyBorder="1" applyAlignment="1">
      <alignment horizontal="center" vertical="center" wrapText="1"/>
    </xf>
    <xf numFmtId="0" fontId="103" fillId="0" borderId="13" xfId="0" applyFont="1" applyFill="1" applyBorder="1" applyAlignment="1">
      <alignment horizontal="left" wrapText="1"/>
    </xf>
    <xf numFmtId="0" fontId="103" fillId="0" borderId="13" xfId="0" applyFont="1" applyFill="1" applyBorder="1" applyAlignment="1">
      <alignment horizontal="center" wrapText="1"/>
    </xf>
    <xf numFmtId="0" fontId="91" fillId="0" borderId="0" xfId="0" applyFont="1" applyBorder="1" applyAlignment="1">
      <alignment horizontal="center" wrapText="1"/>
    </xf>
    <xf numFmtId="0" fontId="88" fillId="33" borderId="14" xfId="0" applyFont="1" applyFill="1" applyBorder="1" applyAlignment="1">
      <alignment horizontal="center" vertical="center" wrapText="1"/>
    </xf>
    <xf numFmtId="0" fontId="88" fillId="33" borderId="10" xfId="0" applyFont="1" applyFill="1" applyBorder="1" applyAlignment="1">
      <alignment horizontal="center" vertical="center" wrapText="1"/>
    </xf>
    <xf numFmtId="0" fontId="88" fillId="33" borderId="18" xfId="0" applyFont="1" applyFill="1" applyBorder="1" applyAlignment="1">
      <alignment horizontal="center" vertical="center" wrapText="1"/>
    </xf>
    <xf numFmtId="0" fontId="88" fillId="34" borderId="14" xfId="0" applyFont="1" applyFill="1" applyBorder="1" applyAlignment="1">
      <alignment horizontal="center" vertical="center" wrapText="1"/>
    </xf>
    <xf numFmtId="0" fontId="88" fillId="34" borderId="10" xfId="0" applyFont="1" applyFill="1" applyBorder="1" applyAlignment="1">
      <alignment horizontal="center" vertical="center" wrapText="1"/>
    </xf>
    <xf numFmtId="0" fontId="88" fillId="34" borderId="18" xfId="0" applyFont="1" applyFill="1" applyBorder="1" applyAlignment="1">
      <alignment horizontal="center" vertical="center" wrapText="1"/>
    </xf>
    <xf numFmtId="0" fontId="93" fillId="49" borderId="13" xfId="0" applyFont="1" applyFill="1" applyBorder="1" applyAlignment="1">
      <alignment horizontal="left" vertical="center"/>
    </xf>
    <xf numFmtId="177" fontId="88" fillId="0" borderId="14" xfId="63" applyNumberFormat="1" applyFont="1" applyFill="1" applyBorder="1" applyAlignment="1">
      <alignment horizontal="center" vertical="center" wrapText="1"/>
    </xf>
    <xf numFmtId="177" fontId="88" fillId="0" borderId="18" xfId="63" applyNumberFormat="1" applyFont="1" applyFill="1" applyBorder="1" applyAlignment="1">
      <alignment horizontal="center" vertical="center" wrapText="1"/>
    </xf>
    <xf numFmtId="0" fontId="102" fillId="37" borderId="14" xfId="0" applyFont="1" applyFill="1" applyBorder="1" applyAlignment="1">
      <alignment horizontal="center" wrapText="1"/>
    </xf>
    <xf numFmtId="0" fontId="102" fillId="37" borderId="10" xfId="0" applyFont="1" applyFill="1" applyBorder="1" applyAlignment="1">
      <alignment horizontal="center" wrapText="1"/>
    </xf>
    <xf numFmtId="0" fontId="102" fillId="37" borderId="18" xfId="0" applyFont="1" applyFill="1" applyBorder="1" applyAlignment="1">
      <alignment horizontal="center" wrapText="1"/>
    </xf>
    <xf numFmtId="0" fontId="90" fillId="0" borderId="0" xfId="0" applyFont="1" applyFill="1" applyBorder="1" applyAlignment="1">
      <alignment horizontal="center" wrapText="1"/>
    </xf>
    <xf numFmtId="0" fontId="91" fillId="0" borderId="0" xfId="0" applyFont="1" applyFill="1" applyBorder="1" applyAlignment="1">
      <alignment horizontal="center" wrapText="1"/>
    </xf>
    <xf numFmtId="0" fontId="92" fillId="0" borderId="0" xfId="0" applyFont="1" applyBorder="1" applyAlignment="1">
      <alignment horizontal="center" wrapText="1"/>
    </xf>
    <xf numFmtId="177" fontId="29" fillId="0" borderId="14" xfId="63" applyNumberFormat="1" applyFont="1" applyFill="1" applyBorder="1" applyAlignment="1">
      <alignment vertical="center"/>
    </xf>
    <xf numFmtId="177" fontId="29" fillId="0" borderId="18" xfId="63" applyNumberFormat="1" applyFont="1" applyFill="1" applyBorder="1" applyAlignment="1">
      <alignment vertical="center"/>
    </xf>
    <xf numFmtId="10" fontId="29" fillId="0" borderId="14" xfId="52" applyNumberFormat="1" applyFont="1" applyFill="1" applyBorder="1" applyAlignment="1">
      <alignment vertical="center"/>
    </xf>
    <xf numFmtId="10" fontId="29" fillId="0" borderId="18" xfId="52" applyNumberFormat="1" applyFont="1" applyFill="1" applyBorder="1" applyAlignment="1">
      <alignment vertical="center"/>
    </xf>
    <xf numFmtId="0" fontId="27" fillId="0" borderId="0" xfId="0" applyFont="1" applyFill="1" applyAlignment="1">
      <alignment horizontal="center"/>
    </xf>
    <xf numFmtId="177" fontId="29" fillId="34" borderId="14" xfId="63" applyNumberFormat="1" applyFont="1" applyFill="1" applyBorder="1" applyAlignment="1">
      <alignment vertical="center"/>
    </xf>
    <xf numFmtId="177" fontId="29" fillId="34" borderId="18" xfId="63" applyNumberFormat="1" applyFont="1" applyFill="1" applyBorder="1" applyAlignment="1">
      <alignment vertical="center"/>
    </xf>
    <xf numFmtId="0" fontId="34" fillId="37" borderId="22" xfId="0" applyFont="1" applyFill="1" applyBorder="1" applyAlignment="1">
      <alignment horizontal="center" vertical="center"/>
    </xf>
    <xf numFmtId="0" fontId="34" fillId="37" borderId="23" xfId="0" applyFont="1" applyFill="1" applyBorder="1" applyAlignment="1">
      <alignment horizontal="center" vertical="center"/>
    </xf>
    <xf numFmtId="0" fontId="34" fillId="37" borderId="15" xfId="0" applyFont="1" applyFill="1" applyBorder="1" applyAlignment="1">
      <alignment horizontal="center" vertical="center"/>
    </xf>
    <xf numFmtId="171" fontId="22" fillId="37" borderId="13" xfId="63" applyFont="1" applyFill="1" applyBorder="1" applyAlignment="1">
      <alignment horizontal="center" vertical="center" wrapText="1"/>
    </xf>
    <xf numFmtId="10" fontId="29" fillId="0" borderId="14" xfId="52" applyNumberFormat="1" applyFont="1" applyFill="1" applyBorder="1" applyAlignment="1">
      <alignment vertical="center"/>
    </xf>
    <xf numFmtId="10" fontId="29" fillId="0" borderId="18" xfId="52" applyNumberFormat="1" applyFont="1" applyFill="1" applyBorder="1" applyAlignment="1">
      <alignment vertical="center"/>
    </xf>
    <xf numFmtId="171" fontId="22" fillId="37" borderId="14" xfId="63" applyFont="1" applyFill="1" applyBorder="1" applyAlignment="1">
      <alignment horizontal="center" vertical="center" wrapText="1"/>
    </xf>
    <xf numFmtId="171" fontId="22" fillId="37" borderId="10" xfId="63" applyFont="1" applyFill="1" applyBorder="1" applyAlignment="1">
      <alignment horizontal="center" vertical="center" wrapText="1"/>
    </xf>
    <xf numFmtId="171" fontId="22" fillId="37" borderId="18" xfId="63" applyFont="1" applyFill="1" applyBorder="1" applyAlignment="1">
      <alignment horizontal="center" vertical="center" wrapText="1"/>
    </xf>
    <xf numFmtId="0" fontId="61" fillId="37" borderId="10" xfId="0" applyFont="1" applyFill="1" applyBorder="1" applyAlignment="1">
      <alignment horizontal="center" wrapText="1"/>
    </xf>
    <xf numFmtId="0" fontId="61" fillId="37" borderId="13" xfId="0" applyFont="1" applyFill="1" applyBorder="1" applyAlignment="1">
      <alignment horizontal="center" wrapText="1"/>
    </xf>
    <xf numFmtId="0" fontId="34" fillId="37" borderId="40" xfId="0" applyFont="1" applyFill="1" applyBorder="1" applyAlignment="1">
      <alignment horizontal="center" vertical="center"/>
    </xf>
    <xf numFmtId="0" fontId="34" fillId="37" borderId="20" xfId="0" applyFont="1" applyFill="1" applyBorder="1" applyAlignment="1">
      <alignment horizontal="center" vertical="center"/>
    </xf>
    <xf numFmtId="0" fontId="40" fillId="0" borderId="23" xfId="0" applyFont="1" applyBorder="1" applyAlignment="1">
      <alignment horizontal="center" wrapText="1"/>
    </xf>
    <xf numFmtId="0" fontId="40" fillId="0" borderId="0" xfId="0" applyFont="1" applyBorder="1" applyAlignment="1">
      <alignment horizontal="center" wrapText="1"/>
    </xf>
    <xf numFmtId="0" fontId="40" fillId="0" borderId="19" xfId="0" applyFont="1" applyBorder="1" applyAlignment="1">
      <alignment horizontal="center" wrapText="1"/>
    </xf>
    <xf numFmtId="0" fontId="39" fillId="0" borderId="23" xfId="0" applyFont="1" applyBorder="1" applyAlignment="1">
      <alignment horizontal="center" wrapText="1"/>
    </xf>
    <xf numFmtId="0" fontId="39" fillId="0" borderId="0" xfId="0" applyFont="1" applyBorder="1" applyAlignment="1">
      <alignment horizontal="center" wrapText="1"/>
    </xf>
    <xf numFmtId="0" fontId="39" fillId="0" borderId="19" xfId="0" applyFont="1" applyBorder="1" applyAlignment="1">
      <alignment horizontal="center" wrapText="1"/>
    </xf>
    <xf numFmtId="0" fontId="11" fillId="49" borderId="14" xfId="0" applyFont="1" applyFill="1" applyBorder="1" applyAlignment="1">
      <alignment horizontal="left" wrapText="1"/>
    </xf>
    <xf numFmtId="0" fontId="11" fillId="49" borderId="10" xfId="0" applyFont="1" applyFill="1" applyBorder="1" applyAlignment="1">
      <alignment horizontal="left" wrapText="1"/>
    </xf>
    <xf numFmtId="0" fontId="11" fillId="49" borderId="18" xfId="0" applyFont="1" applyFill="1" applyBorder="1" applyAlignment="1">
      <alignment horizontal="left" wrapText="1"/>
    </xf>
    <xf numFmtId="0" fontId="31" fillId="0" borderId="15" xfId="0" applyFont="1" applyBorder="1" applyAlignment="1">
      <alignment horizontal="left" wrapText="1"/>
    </xf>
    <xf numFmtId="0" fontId="31" fillId="0" borderId="12" xfId="0" applyFont="1" applyBorder="1" applyAlignment="1">
      <alignment horizontal="left" wrapText="1"/>
    </xf>
    <xf numFmtId="0" fontId="31" fillId="0" borderId="20" xfId="0" applyFont="1" applyBorder="1" applyAlignment="1">
      <alignment horizontal="left" wrapText="1"/>
    </xf>
    <xf numFmtId="49" fontId="34" fillId="37" borderId="17" xfId="63" applyNumberFormat="1" applyFont="1" applyFill="1" applyBorder="1" applyAlignment="1">
      <alignment horizontal="center" vertical="center" wrapText="1"/>
    </xf>
    <xf numFmtId="49" fontId="34" fillId="37" borderId="16" xfId="63" applyNumberFormat="1" applyFont="1" applyFill="1" applyBorder="1" applyAlignment="1">
      <alignment horizontal="center" vertical="center" wrapText="1"/>
    </xf>
    <xf numFmtId="171" fontId="22" fillId="41" borderId="13" xfId="63" applyFont="1" applyFill="1" applyBorder="1" applyAlignment="1">
      <alignment horizontal="center" vertical="center" wrapText="1"/>
    </xf>
    <xf numFmtId="171" fontId="22" fillId="41" borderId="14" xfId="63" applyFont="1" applyFill="1" applyBorder="1" applyAlignment="1">
      <alignment horizontal="center" vertical="center"/>
    </xf>
    <xf numFmtId="171" fontId="22" fillId="41" borderId="10" xfId="63" applyFont="1" applyFill="1" applyBorder="1" applyAlignment="1">
      <alignment horizontal="center" vertical="center"/>
    </xf>
    <xf numFmtId="171" fontId="22" fillId="41" borderId="18" xfId="63" applyFont="1" applyFill="1" applyBorder="1" applyAlignment="1">
      <alignment horizontal="center" vertical="center"/>
    </xf>
    <xf numFmtId="49" fontId="34" fillId="37" borderId="17" xfId="63" applyNumberFormat="1" applyFont="1" applyFill="1" applyBorder="1" applyAlignment="1">
      <alignment horizontal="center" vertical="center" wrapText="1"/>
    </xf>
    <xf numFmtId="0" fontId="29" fillId="41" borderId="14" xfId="0" applyFont="1" applyFill="1" applyBorder="1" applyAlignment="1">
      <alignment vertical="center"/>
    </xf>
    <xf numFmtId="0" fontId="29" fillId="41" borderId="18" xfId="0" applyFont="1" applyFill="1" applyBorder="1" applyAlignment="1">
      <alignment vertical="center"/>
    </xf>
    <xf numFmtId="0" fontId="27" fillId="0" borderId="0" xfId="0" applyFont="1" applyFill="1" applyAlignment="1">
      <alignment horizontal="center" vertical="center"/>
    </xf>
    <xf numFmtId="0" fontId="66" fillId="37" borderId="22" xfId="0" applyFont="1" applyFill="1" applyBorder="1" applyAlignment="1">
      <alignment horizontal="left" wrapText="1"/>
    </xf>
    <xf numFmtId="0" fontId="66" fillId="37" borderId="11" xfId="0" applyFont="1" applyFill="1" applyBorder="1" applyAlignment="1">
      <alignment horizontal="left" wrapText="1"/>
    </xf>
    <xf numFmtId="0" fontId="66" fillId="37" borderId="22" xfId="0" applyFont="1" applyFill="1" applyBorder="1" applyAlignment="1">
      <alignment horizontal="center" wrapText="1"/>
    </xf>
    <xf numFmtId="0" fontId="66" fillId="37" borderId="11" xfId="0" applyFont="1" applyFill="1" applyBorder="1" applyAlignment="1">
      <alignment horizontal="center" wrapText="1"/>
    </xf>
    <xf numFmtId="0" fontId="66" fillId="0" borderId="22" xfId="0" applyFont="1" applyFill="1" applyBorder="1" applyAlignment="1">
      <alignment horizontal="center" wrapText="1"/>
    </xf>
    <xf numFmtId="0" fontId="66" fillId="0" borderId="11" xfId="0" applyFont="1" applyFill="1" applyBorder="1" applyAlignment="1">
      <alignment horizontal="center" wrapText="1"/>
    </xf>
    <xf numFmtId="0" fontId="66" fillId="0" borderId="40" xfId="0" applyFont="1" applyFill="1" applyBorder="1" applyAlignment="1">
      <alignment horizontal="center" wrapText="1"/>
    </xf>
    <xf numFmtId="0" fontId="66" fillId="0" borderId="23" xfId="0" applyFont="1" applyFill="1" applyBorder="1" applyAlignment="1">
      <alignment horizontal="center" wrapText="1"/>
    </xf>
    <xf numFmtId="0" fontId="66" fillId="0" borderId="0" xfId="0" applyFont="1" applyFill="1" applyBorder="1" applyAlignment="1">
      <alignment horizontal="center" wrapText="1"/>
    </xf>
    <xf numFmtId="0" fontId="66" fillId="0" borderId="19" xfId="0" applyFont="1" applyFill="1" applyBorder="1" applyAlignment="1">
      <alignment horizontal="center" wrapText="1"/>
    </xf>
    <xf numFmtId="0" fontId="66" fillId="0" borderId="23" xfId="0" applyFont="1" applyBorder="1" applyAlignment="1">
      <alignment horizontal="center" wrapText="1"/>
    </xf>
    <xf numFmtId="0" fontId="66" fillId="0" borderId="0" xfId="0" applyFont="1" applyBorder="1" applyAlignment="1">
      <alignment horizontal="center" wrapText="1"/>
    </xf>
    <xf numFmtId="0" fontId="66" fillId="0" borderId="19" xfId="0" applyFont="1" applyBorder="1" applyAlignment="1">
      <alignment horizontal="center" wrapText="1"/>
    </xf>
    <xf numFmtId="0" fontId="66" fillId="0" borderId="15" xfId="0" applyFont="1" applyBorder="1" applyAlignment="1">
      <alignment horizontal="center" wrapText="1"/>
    </xf>
    <xf numFmtId="0" fontId="66" fillId="0" borderId="12" xfId="0" applyFont="1" applyBorder="1" applyAlignment="1">
      <alignment horizontal="center" wrapText="1"/>
    </xf>
    <xf numFmtId="0" fontId="66" fillId="0" borderId="20" xfId="0" applyFont="1" applyBorder="1" applyAlignment="1">
      <alignment horizontal="center" wrapText="1"/>
    </xf>
    <xf numFmtId="178" fontId="17" fillId="0" borderId="13" xfId="0" applyNumberFormat="1" applyFont="1" applyFill="1" applyBorder="1" applyAlignment="1" applyProtection="1">
      <alignment horizontal="center" vertical="center" wrapText="1"/>
      <protection/>
    </xf>
    <xf numFmtId="178" fontId="24" fillId="37" borderId="16" xfId="0" applyNumberFormat="1" applyFont="1" applyFill="1" applyBorder="1" applyAlignment="1" applyProtection="1">
      <alignment horizontal="center" vertical="center"/>
      <protection/>
    </xf>
    <xf numFmtId="178" fontId="24" fillId="37" borderId="13" xfId="0" applyNumberFormat="1" applyFont="1" applyFill="1" applyBorder="1" applyAlignment="1" applyProtection="1">
      <alignment horizontal="center" vertical="center"/>
      <protection/>
    </xf>
    <xf numFmtId="178" fontId="24" fillId="37" borderId="16" xfId="0" applyNumberFormat="1" applyFont="1" applyFill="1" applyBorder="1" applyAlignment="1" applyProtection="1">
      <alignment horizontal="center" vertical="center" wrapText="1"/>
      <protection/>
    </xf>
    <xf numFmtId="178" fontId="24" fillId="37" borderId="13" xfId="0" applyNumberFormat="1" applyFont="1" applyFill="1" applyBorder="1" applyAlignment="1" applyProtection="1">
      <alignment horizontal="center" vertical="center" wrapText="1"/>
      <protection/>
    </xf>
    <xf numFmtId="0" fontId="19" fillId="49" borderId="16" xfId="0" applyFont="1" applyFill="1" applyBorder="1" applyAlignment="1">
      <alignment horizontal="center" wrapText="1"/>
    </xf>
    <xf numFmtId="0" fontId="31" fillId="0" borderId="14" xfId="0" applyFont="1" applyBorder="1" applyAlignment="1">
      <alignment horizontal="left" wrapText="1"/>
    </xf>
    <xf numFmtId="0" fontId="31" fillId="0" borderId="10" xfId="0" applyFont="1" applyBorder="1" applyAlignment="1">
      <alignment horizontal="left" wrapText="1"/>
    </xf>
    <xf numFmtId="0" fontId="31" fillId="0" borderId="18" xfId="0" applyFont="1" applyBorder="1" applyAlignment="1">
      <alignment horizontal="left" wrapText="1"/>
    </xf>
    <xf numFmtId="0" fontId="36" fillId="0" borderId="14" xfId="0" applyFont="1" applyFill="1" applyBorder="1" applyAlignment="1">
      <alignment horizontal="left" vertical="center" wrapText="1"/>
    </xf>
    <xf numFmtId="0" fontId="36" fillId="0" borderId="10" xfId="0" applyFont="1" applyFill="1" applyBorder="1" applyAlignment="1">
      <alignment horizontal="left" vertical="center" wrapText="1"/>
    </xf>
    <xf numFmtId="0" fontId="36" fillId="0" borderId="18" xfId="0" applyFont="1" applyFill="1" applyBorder="1" applyAlignment="1">
      <alignment horizontal="left" vertical="center" wrapText="1"/>
    </xf>
    <xf numFmtId="0" fontId="19" fillId="0" borderId="14" xfId="0" applyFont="1" applyBorder="1" applyAlignment="1">
      <alignment horizontal="left" vertical="center" wrapText="1"/>
    </xf>
    <xf numFmtId="0" fontId="19" fillId="0" borderId="18" xfId="0" applyFont="1" applyBorder="1" applyAlignment="1">
      <alignment horizontal="left" vertical="center" wrapText="1"/>
    </xf>
    <xf numFmtId="0" fontId="19" fillId="61" borderId="14" xfId="0" applyFont="1" applyFill="1" applyBorder="1" applyAlignment="1">
      <alignment horizontal="center" vertical="center"/>
    </xf>
    <xf numFmtId="0" fontId="19" fillId="61" borderId="10" xfId="0" applyFont="1" applyFill="1" applyBorder="1" applyAlignment="1">
      <alignment horizontal="center" vertical="center"/>
    </xf>
    <xf numFmtId="0" fontId="19" fillId="61" borderId="18" xfId="0" applyFont="1" applyFill="1" applyBorder="1" applyAlignment="1">
      <alignment horizontal="center" vertical="center"/>
    </xf>
    <xf numFmtId="178" fontId="24" fillId="37" borderId="16" xfId="0" applyNumberFormat="1" applyFont="1" applyFill="1" applyBorder="1" applyAlignment="1" applyProtection="1">
      <alignment horizontal="center" vertical="center" textRotation="90" wrapText="1"/>
      <protection/>
    </xf>
    <xf numFmtId="178" fontId="24" fillId="37" borderId="13" xfId="0" applyNumberFormat="1" applyFont="1" applyFill="1" applyBorder="1" applyAlignment="1" applyProtection="1">
      <alignment horizontal="center" vertical="center" textRotation="90" wrapText="1"/>
      <protection/>
    </xf>
    <xf numFmtId="178" fontId="17" fillId="0" borderId="15" xfId="0" applyNumberFormat="1" applyFont="1" applyFill="1" applyBorder="1" applyAlignment="1" applyProtection="1">
      <alignment horizontal="center" vertical="center"/>
      <protection/>
    </xf>
    <xf numFmtId="178" fontId="17" fillId="0" borderId="12" xfId="0" applyNumberFormat="1" applyFont="1" applyFill="1" applyBorder="1" applyAlignment="1" applyProtection="1">
      <alignment horizontal="center" vertical="center"/>
      <protection/>
    </xf>
    <xf numFmtId="178" fontId="17" fillId="0" borderId="20" xfId="0" applyNumberFormat="1" applyFont="1" applyFill="1" applyBorder="1" applyAlignment="1" applyProtection="1">
      <alignment horizontal="center" vertical="center"/>
      <protection/>
    </xf>
    <xf numFmtId="0" fontId="41" fillId="34" borderId="14" xfId="0" applyFont="1" applyFill="1" applyBorder="1" applyAlignment="1">
      <alignment horizontal="center" wrapText="1"/>
    </xf>
    <xf numFmtId="0" fontId="41" fillId="34" borderId="10" xfId="0" applyFont="1" applyFill="1" applyBorder="1" applyAlignment="1">
      <alignment horizontal="center" wrapText="1"/>
    </xf>
    <xf numFmtId="0" fontId="41" fillId="34" borderId="18" xfId="0" applyFont="1" applyFill="1" applyBorder="1" applyAlignment="1">
      <alignment horizontal="center" wrapText="1"/>
    </xf>
    <xf numFmtId="0" fontId="35" fillId="34" borderId="14" xfId="0" applyFont="1" applyFill="1" applyBorder="1" applyAlignment="1">
      <alignment horizontal="center" wrapText="1"/>
    </xf>
    <xf numFmtId="0" fontId="35" fillId="34" borderId="10" xfId="0" applyFont="1" applyFill="1" applyBorder="1" applyAlignment="1">
      <alignment horizontal="center" wrapText="1"/>
    </xf>
    <xf numFmtId="0" fontId="35" fillId="34" borderId="18" xfId="0" applyFont="1" applyFill="1" applyBorder="1" applyAlignment="1">
      <alignment horizontal="center" wrapText="1"/>
    </xf>
    <xf numFmtId="0" fontId="45" fillId="0" borderId="23" xfId="0" applyFont="1" applyFill="1" applyBorder="1" applyAlignment="1">
      <alignment horizontal="center" wrapText="1"/>
    </xf>
    <xf numFmtId="0" fontId="45" fillId="0" borderId="0" xfId="0" applyFont="1" applyFill="1" applyBorder="1" applyAlignment="1">
      <alignment horizontal="center" wrapText="1"/>
    </xf>
    <xf numFmtId="0" fontId="45" fillId="0" borderId="19" xfId="0" applyFont="1" applyFill="1" applyBorder="1" applyAlignment="1">
      <alignment horizontal="center" wrapText="1"/>
    </xf>
    <xf numFmtId="0" fontId="20" fillId="49" borderId="14" xfId="0" applyFont="1" applyFill="1" applyBorder="1" applyAlignment="1">
      <alignment horizontal="left" wrapText="1"/>
    </xf>
    <xf numFmtId="0" fontId="20" fillId="49" borderId="10" xfId="0" applyFont="1" applyFill="1" applyBorder="1" applyAlignment="1">
      <alignment horizontal="left" wrapText="1"/>
    </xf>
    <xf numFmtId="0" fontId="20" fillId="49" borderId="18" xfId="0" applyFont="1" applyFill="1" applyBorder="1" applyAlignment="1">
      <alignment horizontal="left" wrapText="1"/>
    </xf>
    <xf numFmtId="0" fontId="46" fillId="37" borderId="14" xfId="0" applyFont="1" applyFill="1" applyBorder="1" applyAlignment="1">
      <alignment horizontal="center" wrapText="1"/>
    </xf>
    <xf numFmtId="0" fontId="46" fillId="37" borderId="10" xfId="0" applyFont="1" applyFill="1" applyBorder="1" applyAlignment="1">
      <alignment horizontal="center" wrapText="1"/>
    </xf>
    <xf numFmtId="0" fontId="31" fillId="0" borderId="14" xfId="0" applyFont="1" applyFill="1" applyBorder="1" applyAlignment="1">
      <alignment horizontal="left" wrapText="1"/>
    </xf>
    <xf numFmtId="0" fontId="31" fillId="0" borderId="10" xfId="0" applyFont="1" applyFill="1" applyBorder="1" applyAlignment="1">
      <alignment horizontal="left" wrapText="1"/>
    </xf>
    <xf numFmtId="0" fontId="31" fillId="0" borderId="18" xfId="0" applyFont="1" applyFill="1" applyBorder="1" applyAlignment="1">
      <alignment horizontal="left" wrapText="1"/>
    </xf>
    <xf numFmtId="0" fontId="44" fillId="0" borderId="23" xfId="0" applyFont="1" applyBorder="1" applyAlignment="1">
      <alignment horizontal="center" wrapText="1"/>
    </xf>
    <xf numFmtId="0" fontId="44" fillId="0" borderId="0" xfId="0" applyFont="1" applyBorder="1" applyAlignment="1">
      <alignment horizontal="center" wrapText="1"/>
    </xf>
    <xf numFmtId="0" fontId="44" fillId="0" borderId="19" xfId="0" applyFont="1" applyBorder="1" applyAlignment="1">
      <alignment horizontal="center" wrapText="1"/>
    </xf>
    <xf numFmtId="0" fontId="45" fillId="0" borderId="23" xfId="0" applyFont="1" applyBorder="1" applyAlignment="1">
      <alignment horizontal="center" wrapText="1"/>
    </xf>
    <xf numFmtId="0" fontId="45" fillId="0" borderId="0" xfId="0" applyFont="1" applyBorder="1" applyAlignment="1">
      <alignment horizontal="center" wrapText="1"/>
    </xf>
    <xf numFmtId="0" fontId="45" fillId="0" borderId="19" xfId="0" applyFont="1" applyBorder="1" applyAlignment="1">
      <alignment horizontal="center" wrapText="1"/>
    </xf>
    <xf numFmtId="0" fontId="21" fillId="0" borderId="15" xfId="0" applyFont="1" applyBorder="1" applyAlignment="1">
      <alignment horizontal="left" wrapText="1"/>
    </xf>
    <xf numFmtId="0" fontId="21" fillId="0" borderId="12" xfId="0" applyFont="1" applyBorder="1" applyAlignment="1">
      <alignment horizontal="left" wrapText="1"/>
    </xf>
    <xf numFmtId="0" fontId="21" fillId="0" borderId="20" xfId="0" applyFont="1" applyBorder="1" applyAlignment="1">
      <alignment horizontal="left" wrapText="1"/>
    </xf>
    <xf numFmtId="49" fontId="30" fillId="0" borderId="22" xfId="0" applyNumberFormat="1" applyFont="1" applyFill="1" applyBorder="1" applyAlignment="1">
      <alignment horizontal="left" vertical="center" wrapText="1"/>
    </xf>
    <xf numFmtId="49" fontId="30" fillId="0" borderId="11" xfId="0" applyNumberFormat="1" applyFont="1" applyFill="1" applyBorder="1" applyAlignment="1">
      <alignment horizontal="left" vertical="center" wrapText="1"/>
    </xf>
    <xf numFmtId="49" fontId="30" fillId="0" borderId="40" xfId="0" applyNumberFormat="1" applyFont="1" applyFill="1" applyBorder="1" applyAlignment="1">
      <alignment horizontal="left" vertical="center" wrapText="1"/>
    </xf>
    <xf numFmtId="49" fontId="30" fillId="0" borderId="15" xfId="0" applyNumberFormat="1" applyFont="1" applyFill="1" applyBorder="1" applyAlignment="1">
      <alignment horizontal="left" vertical="center" wrapText="1"/>
    </xf>
    <xf numFmtId="49" fontId="30" fillId="0" borderId="12" xfId="0" applyNumberFormat="1" applyFont="1" applyFill="1" applyBorder="1" applyAlignment="1">
      <alignment horizontal="left" vertical="center" wrapText="1"/>
    </xf>
    <xf numFmtId="49" fontId="30" fillId="0" borderId="20" xfId="0" applyNumberFormat="1" applyFont="1" applyFill="1" applyBorder="1" applyAlignment="1">
      <alignment horizontal="left" vertical="center" wrapText="1"/>
    </xf>
    <xf numFmtId="0" fontId="61" fillId="37" borderId="14" xfId="0" applyFont="1" applyFill="1" applyBorder="1" applyAlignment="1">
      <alignment horizontal="center" wrapText="1"/>
    </xf>
    <xf numFmtId="0" fontId="72" fillId="0" borderId="23" xfId="0" applyFont="1" applyFill="1" applyBorder="1" applyAlignment="1">
      <alignment horizontal="left" wrapText="1"/>
    </xf>
    <xf numFmtId="0" fontId="72" fillId="0" borderId="0" xfId="0" applyFont="1" applyFill="1" applyBorder="1" applyAlignment="1">
      <alignment horizontal="left" wrapText="1"/>
    </xf>
    <xf numFmtId="0" fontId="72" fillId="0" borderId="19" xfId="0" applyFont="1" applyFill="1" applyBorder="1" applyAlignment="1">
      <alignment horizontal="left" wrapText="1"/>
    </xf>
    <xf numFmtId="0" fontId="63" fillId="0" borderId="23" xfId="0" applyFont="1" applyBorder="1" applyAlignment="1">
      <alignment horizontal="center" wrapText="1"/>
    </xf>
    <xf numFmtId="0" fontId="63" fillId="0" borderId="0" xfId="0" applyFont="1" applyBorder="1" applyAlignment="1">
      <alignment horizontal="center" wrapText="1"/>
    </xf>
    <xf numFmtId="0" fontId="63" fillId="0" borderId="19" xfId="0" applyFont="1" applyBorder="1" applyAlignment="1">
      <alignment horizontal="center" wrapText="1"/>
    </xf>
    <xf numFmtId="0" fontId="52" fillId="0" borderId="23" xfId="0" applyFont="1" applyBorder="1" applyAlignment="1">
      <alignment horizontal="center" wrapText="1"/>
    </xf>
    <xf numFmtId="0" fontId="52" fillId="0" borderId="0" xfId="0" applyFont="1" applyBorder="1" applyAlignment="1">
      <alignment horizontal="center" wrapText="1"/>
    </xf>
    <xf numFmtId="0" fontId="52" fillId="0" borderId="19" xfId="0" applyFont="1" applyBorder="1" applyAlignment="1">
      <alignment horizontal="center" wrapText="1"/>
    </xf>
    <xf numFmtId="0" fontId="62" fillId="0" borderId="23" xfId="0" applyFont="1" applyFill="1" applyBorder="1" applyAlignment="1">
      <alignment horizontal="center" wrapText="1"/>
    </xf>
    <xf numFmtId="0" fontId="62" fillId="0" borderId="0" xfId="0" applyFont="1" applyFill="1" applyBorder="1" applyAlignment="1">
      <alignment horizontal="center" wrapText="1"/>
    </xf>
    <xf numFmtId="0" fontId="62" fillId="0" borderId="19" xfId="0" applyFont="1" applyFill="1" applyBorder="1" applyAlignment="1">
      <alignment horizontal="center" wrapText="1"/>
    </xf>
    <xf numFmtId="0" fontId="52" fillId="0" borderId="23" xfId="0" applyFont="1" applyFill="1" applyBorder="1" applyAlignment="1">
      <alignment horizontal="center" wrapText="1"/>
    </xf>
    <xf numFmtId="0" fontId="52" fillId="0" borderId="0" xfId="0" applyFont="1" applyFill="1" applyBorder="1" applyAlignment="1">
      <alignment horizontal="center" wrapText="1"/>
    </xf>
    <xf numFmtId="0" fontId="52" fillId="0" borderId="19" xfId="0" applyFont="1" applyFill="1" applyBorder="1" applyAlignment="1">
      <alignment horizontal="center" wrapText="1"/>
    </xf>
    <xf numFmtId="0" fontId="34" fillId="0" borderId="17" xfId="0" applyFont="1" applyFill="1" applyBorder="1" applyAlignment="1">
      <alignment horizontal="left" wrapText="1"/>
    </xf>
    <xf numFmtId="0" fontId="37" fillId="36" borderId="13" xfId="0" applyFont="1" applyFill="1" applyBorder="1" applyAlignment="1" applyProtection="1">
      <alignment horizontal="center" vertical="center" wrapText="1"/>
      <protection/>
    </xf>
    <xf numFmtId="0" fontId="37" fillId="36" borderId="14" xfId="0" applyFont="1" applyFill="1" applyBorder="1" applyAlignment="1" applyProtection="1">
      <alignment horizontal="center" vertical="center" wrapText="1"/>
      <protection/>
    </xf>
    <xf numFmtId="0" fontId="41" fillId="36" borderId="14" xfId="0" applyFont="1" applyFill="1" applyBorder="1" applyAlignment="1" applyProtection="1">
      <alignment horizontal="center" vertical="center" wrapText="1"/>
      <protection/>
    </xf>
    <xf numFmtId="0" fontId="41" fillId="36" borderId="10" xfId="0" applyFont="1" applyFill="1" applyBorder="1" applyAlignment="1" applyProtection="1">
      <alignment horizontal="center" vertical="center" wrapText="1"/>
      <protection/>
    </xf>
    <xf numFmtId="0" fontId="41" fillId="36" borderId="18" xfId="0" applyFont="1" applyFill="1" applyBorder="1" applyAlignment="1" applyProtection="1">
      <alignment horizontal="center" vertical="center" wrapText="1"/>
      <protection/>
    </xf>
    <xf numFmtId="49" fontId="41" fillId="0" borderId="17" xfId="0" applyNumberFormat="1" applyFont="1" applyFill="1" applyBorder="1" applyAlignment="1" applyProtection="1">
      <alignment horizontal="center" vertical="center" wrapText="1"/>
      <protection/>
    </xf>
    <xf numFmtId="49" fontId="41" fillId="0" borderId="21" xfId="0" applyNumberFormat="1" applyFont="1" applyFill="1" applyBorder="1" applyAlignment="1" applyProtection="1">
      <alignment horizontal="center" vertical="center" wrapText="1"/>
      <protection/>
    </xf>
    <xf numFmtId="49" fontId="41" fillId="0" borderId="16" xfId="0" applyNumberFormat="1" applyFont="1" applyFill="1" applyBorder="1" applyAlignment="1" applyProtection="1">
      <alignment horizontal="center" vertical="center" wrapText="1"/>
      <protection/>
    </xf>
    <xf numFmtId="49" fontId="17" fillId="34" borderId="17" xfId="0" applyNumberFormat="1" applyFont="1" applyFill="1" applyBorder="1" applyAlignment="1" applyProtection="1">
      <alignment horizontal="center" vertical="center" wrapText="1"/>
      <protection/>
    </xf>
    <xf numFmtId="49" fontId="17" fillId="34" borderId="21" xfId="0" applyNumberFormat="1" applyFont="1" applyFill="1" applyBorder="1" applyAlignment="1" applyProtection="1">
      <alignment horizontal="center" vertical="center" wrapText="1"/>
      <protection/>
    </xf>
    <xf numFmtId="49" fontId="17" fillId="34" borderId="16" xfId="0" applyNumberFormat="1" applyFont="1" applyFill="1" applyBorder="1" applyAlignment="1" applyProtection="1">
      <alignment horizontal="center" vertical="center" wrapText="1"/>
      <protection/>
    </xf>
    <xf numFmtId="0" fontId="25" fillId="0" borderId="13" xfId="63" applyNumberFormat="1" applyFont="1" applyFill="1" applyBorder="1" applyAlignment="1" applyProtection="1">
      <alignment horizontal="left" vertical="center" wrapText="1"/>
      <protection/>
    </xf>
    <xf numFmtId="49" fontId="17" fillId="52" borderId="17" xfId="0" applyNumberFormat="1" applyFont="1" applyFill="1" applyBorder="1" applyAlignment="1" applyProtection="1">
      <alignment horizontal="center" vertical="center" wrapText="1"/>
      <protection/>
    </xf>
    <xf numFmtId="49" fontId="17" fillId="52" borderId="21" xfId="0" applyNumberFormat="1" applyFont="1" applyFill="1" applyBorder="1" applyAlignment="1" applyProtection="1">
      <alignment horizontal="center" vertical="center" wrapText="1"/>
      <protection/>
    </xf>
    <xf numFmtId="49" fontId="17" fillId="52" borderId="16" xfId="0" applyNumberFormat="1" applyFont="1" applyFill="1" applyBorder="1" applyAlignment="1" applyProtection="1">
      <alignment horizontal="center" vertical="center" wrapText="1"/>
      <protection/>
    </xf>
    <xf numFmtId="0" fontId="22" fillId="49" borderId="13" xfId="0" applyFont="1" applyFill="1" applyBorder="1" applyAlignment="1">
      <alignment horizontal="left" wrapText="1"/>
    </xf>
    <xf numFmtId="0" fontId="43" fillId="0" borderId="12" xfId="0" applyFont="1" applyFill="1" applyBorder="1" applyAlignment="1">
      <alignment horizontal="center" wrapText="1"/>
    </xf>
    <xf numFmtId="49" fontId="17" fillId="38" borderId="17" xfId="0" applyNumberFormat="1" applyFont="1" applyFill="1" applyBorder="1" applyAlignment="1" applyProtection="1">
      <alignment horizontal="center" vertical="center" wrapText="1"/>
      <protection/>
    </xf>
    <xf numFmtId="49" fontId="17" fillId="38" borderId="21" xfId="0" applyNumberFormat="1" applyFont="1" applyFill="1" applyBorder="1" applyAlignment="1" applyProtection="1">
      <alignment horizontal="center" vertical="center" wrapText="1"/>
      <protection/>
    </xf>
    <xf numFmtId="49" fontId="17" fillId="38" borderId="16" xfId="0" applyNumberFormat="1" applyFont="1" applyFill="1" applyBorder="1" applyAlignment="1" applyProtection="1">
      <alignment horizontal="center" vertical="center" wrapText="1"/>
      <protection/>
    </xf>
    <xf numFmtId="178" fontId="24" fillId="0" borderId="13" xfId="0" applyNumberFormat="1" applyFont="1" applyFill="1" applyBorder="1" applyAlignment="1" applyProtection="1">
      <alignment horizontal="center" vertical="center"/>
      <protection/>
    </xf>
    <xf numFmtId="178" fontId="24" fillId="0" borderId="40" xfId="0" applyNumberFormat="1" applyFont="1" applyFill="1" applyBorder="1" applyAlignment="1" applyProtection="1">
      <alignment horizontal="center" vertical="center" wrapText="1"/>
      <protection/>
    </xf>
    <xf numFmtId="178" fontId="24" fillId="0" borderId="20" xfId="0" applyNumberFormat="1" applyFont="1" applyFill="1" applyBorder="1" applyAlignment="1" applyProtection="1">
      <alignment horizontal="center" vertical="center" wrapText="1"/>
      <protection/>
    </xf>
    <xf numFmtId="178" fontId="17" fillId="0" borderId="13" xfId="0" applyNumberFormat="1" applyFont="1" applyFill="1" applyBorder="1" applyAlignment="1" applyProtection="1">
      <alignment horizontal="center" vertical="center"/>
      <protection/>
    </xf>
    <xf numFmtId="0" fontId="31" fillId="0" borderId="13" xfId="0" applyFont="1" applyBorder="1" applyAlignment="1">
      <alignment horizontal="center" wrapText="1"/>
    </xf>
    <xf numFmtId="0" fontId="58" fillId="0" borderId="23" xfId="0" applyFont="1" applyBorder="1" applyAlignment="1">
      <alignment horizontal="center" wrapText="1"/>
    </xf>
    <xf numFmtId="0" fontId="58" fillId="0" borderId="0" xfId="0" applyFont="1" applyBorder="1" applyAlignment="1">
      <alignment horizontal="center" wrapText="1"/>
    </xf>
    <xf numFmtId="0" fontId="58" fillId="0" borderId="19" xfId="0" applyFont="1" applyBorder="1" applyAlignment="1">
      <alignment horizontal="center" wrapText="1"/>
    </xf>
    <xf numFmtId="178" fontId="17" fillId="0" borderId="14" xfId="0" applyNumberFormat="1" applyFont="1" applyFill="1" applyBorder="1" applyAlignment="1" applyProtection="1">
      <alignment horizontal="center" vertical="center" wrapText="1"/>
      <protection/>
    </xf>
    <xf numFmtId="178" fontId="17" fillId="0" borderId="10" xfId="0" applyNumberFormat="1" applyFont="1" applyFill="1" applyBorder="1" applyAlignment="1" applyProtection="1">
      <alignment horizontal="center" vertical="center" wrapText="1"/>
      <protection/>
    </xf>
    <xf numFmtId="178" fontId="17" fillId="0" borderId="18" xfId="0" applyNumberFormat="1" applyFont="1" applyFill="1" applyBorder="1" applyAlignment="1" applyProtection="1">
      <alignment horizontal="center" vertical="center" wrapText="1"/>
      <protection/>
    </xf>
    <xf numFmtId="0" fontId="22" fillId="49" borderId="14" xfId="0" applyFont="1" applyFill="1" applyBorder="1" applyAlignment="1">
      <alignment horizontal="left" wrapText="1"/>
    </xf>
    <xf numFmtId="0" fontId="22" fillId="49" borderId="18" xfId="0" applyFont="1" applyFill="1" applyBorder="1" applyAlignment="1">
      <alignment horizontal="left" wrapText="1"/>
    </xf>
    <xf numFmtId="0" fontId="31" fillId="0" borderId="23" xfId="0" applyFont="1" applyFill="1" applyBorder="1" applyAlignment="1">
      <alignment horizontal="left" wrapText="1"/>
    </xf>
    <xf numFmtId="0" fontId="31" fillId="0" borderId="0" xfId="0" applyFont="1" applyFill="1" applyBorder="1" applyAlignment="1">
      <alignment horizontal="left" wrapText="1"/>
    </xf>
    <xf numFmtId="0" fontId="31" fillId="0" borderId="19" xfId="0" applyFont="1" applyFill="1" applyBorder="1" applyAlignment="1">
      <alignment horizontal="left" wrapText="1"/>
    </xf>
    <xf numFmtId="0" fontId="57" fillId="0" borderId="22" xfId="0" applyFont="1" applyFill="1" applyBorder="1" applyAlignment="1">
      <alignment horizontal="center" wrapText="1"/>
    </xf>
    <xf numFmtId="0" fontId="57" fillId="0" borderId="11" xfId="0" applyFont="1" applyFill="1" applyBorder="1" applyAlignment="1">
      <alignment horizontal="center" wrapText="1"/>
    </xf>
    <xf numFmtId="0" fontId="57" fillId="0" borderId="40" xfId="0" applyFont="1" applyFill="1" applyBorder="1" applyAlignment="1">
      <alignment horizontal="center" wrapText="1"/>
    </xf>
    <xf numFmtId="0" fontId="58" fillId="0" borderId="23" xfId="0" applyFont="1" applyFill="1" applyBorder="1" applyAlignment="1">
      <alignment horizontal="center" wrapText="1"/>
    </xf>
    <xf numFmtId="0" fontId="58" fillId="0" borderId="0" xfId="0" applyFont="1" applyFill="1" applyBorder="1" applyAlignment="1">
      <alignment horizontal="center" wrapText="1"/>
    </xf>
    <xf numFmtId="0" fontId="58" fillId="0" borderId="19" xfId="0" applyFont="1" applyFill="1" applyBorder="1" applyAlignment="1">
      <alignment horizontal="center" wrapText="1"/>
    </xf>
    <xf numFmtId="0" fontId="33" fillId="0" borderId="23" xfId="0" applyFont="1" applyBorder="1" applyAlignment="1">
      <alignment horizontal="center" wrapText="1"/>
    </xf>
    <xf numFmtId="0" fontId="33" fillId="0" borderId="0" xfId="0" applyFont="1" applyBorder="1" applyAlignment="1">
      <alignment horizontal="center" wrapText="1"/>
    </xf>
    <xf numFmtId="0" fontId="33" fillId="0" borderId="19" xfId="0" applyFont="1" applyBorder="1" applyAlignment="1">
      <alignment horizontal="center" wrapText="1"/>
    </xf>
    <xf numFmtId="0" fontId="29" fillId="67" borderId="13" xfId="0" applyFont="1" applyFill="1" applyBorder="1" applyAlignment="1">
      <alignment horizontal="center" vertical="center" wrapText="1"/>
    </xf>
    <xf numFmtId="0" fontId="68" fillId="0" borderId="23" xfId="0" applyFont="1" applyFill="1" applyBorder="1" applyAlignment="1">
      <alignment horizontal="center" wrapText="1"/>
    </xf>
    <xf numFmtId="0" fontId="68" fillId="0" borderId="0" xfId="0" applyFont="1" applyFill="1" applyBorder="1" applyAlignment="1">
      <alignment horizontal="center" wrapText="1"/>
    </xf>
    <xf numFmtId="0" fontId="68" fillId="0" borderId="19" xfId="0" applyFont="1" applyFill="1" applyBorder="1" applyAlignment="1">
      <alignment horizontal="center" wrapText="1"/>
    </xf>
    <xf numFmtId="0" fontId="11" fillId="49" borderId="15" xfId="0" applyFont="1" applyFill="1" applyBorder="1" applyAlignment="1">
      <alignment horizontal="left" wrapText="1"/>
    </xf>
    <xf numFmtId="0" fontId="11" fillId="49" borderId="20" xfId="0" applyFont="1" applyFill="1" applyBorder="1" applyAlignment="1">
      <alignment horizontal="left" wrapText="1"/>
    </xf>
    <xf numFmtId="0" fontId="67" fillId="37" borderId="14" xfId="0" applyFont="1" applyFill="1" applyBorder="1" applyAlignment="1">
      <alignment horizontal="center" wrapText="1"/>
    </xf>
    <xf numFmtId="0" fontId="67" fillId="37" borderId="10" xfId="0" applyFont="1" applyFill="1" applyBorder="1" applyAlignment="1">
      <alignment horizontal="center" wrapText="1"/>
    </xf>
    <xf numFmtId="0" fontId="36" fillId="0" borderId="14" xfId="0" applyFont="1" applyBorder="1" applyAlignment="1">
      <alignment horizontal="left" vertical="center" wrapText="1"/>
    </xf>
    <xf numFmtId="0" fontId="36" fillId="0" borderId="10" xfId="0" applyFont="1" applyBorder="1" applyAlignment="1">
      <alignment horizontal="left" vertical="center" wrapText="1"/>
    </xf>
    <xf numFmtId="0" fontId="36" fillId="0" borderId="18" xfId="0" applyFont="1" applyBorder="1" applyAlignment="1">
      <alignment horizontal="left" vertical="center" wrapText="1"/>
    </xf>
    <xf numFmtId="178" fontId="24" fillId="37" borderId="40" xfId="0" applyNumberFormat="1" applyFont="1" applyFill="1" applyBorder="1" applyAlignment="1" applyProtection="1">
      <alignment horizontal="center" vertical="center" wrapText="1"/>
      <protection/>
    </xf>
    <xf numFmtId="178" fontId="24" fillId="37" borderId="20" xfId="0" applyNumberFormat="1" applyFont="1" applyFill="1" applyBorder="1" applyAlignment="1" applyProtection="1">
      <alignment horizontal="center" vertical="center" wrapText="1"/>
      <protection/>
    </xf>
    <xf numFmtId="0" fontId="69" fillId="0" borderId="23" xfId="0" applyFont="1" applyBorder="1" applyAlignment="1">
      <alignment horizontal="center" wrapText="1"/>
    </xf>
    <xf numFmtId="0" fontId="69" fillId="0" borderId="0" xfId="0" applyFont="1" applyBorder="1" applyAlignment="1">
      <alignment horizontal="center" wrapText="1"/>
    </xf>
    <xf numFmtId="0" fontId="69" fillId="0" borderId="19" xfId="0" applyFont="1" applyBorder="1" applyAlignment="1">
      <alignment horizontal="center" wrapText="1"/>
    </xf>
    <xf numFmtId="0" fontId="11" fillId="0" borderId="14" xfId="0" applyFont="1" applyBorder="1" applyAlignment="1">
      <alignment horizontal="center" wrapText="1"/>
    </xf>
    <xf numFmtId="0" fontId="11" fillId="0" borderId="10" xfId="0" applyFont="1" applyBorder="1" applyAlignment="1">
      <alignment horizontal="center" wrapText="1"/>
    </xf>
    <xf numFmtId="0" fontId="11" fillId="0" borderId="18" xfId="0" applyFont="1" applyBorder="1" applyAlignment="1">
      <alignment horizontal="center" wrapText="1"/>
    </xf>
    <xf numFmtId="0" fontId="22" fillId="0" borderId="14" xfId="0" applyFont="1" applyBorder="1" applyAlignment="1">
      <alignment horizontal="left" wrapText="1"/>
    </xf>
    <xf numFmtId="0" fontId="22" fillId="0" borderId="10" xfId="0" applyFont="1" applyBorder="1" applyAlignment="1">
      <alignment horizontal="left" wrapText="1"/>
    </xf>
    <xf numFmtId="0" fontId="22" fillId="0" borderId="18" xfId="0" applyFont="1" applyBorder="1" applyAlignment="1">
      <alignment horizontal="left" wrapText="1"/>
    </xf>
    <xf numFmtId="0" fontId="48" fillId="0" borderId="14" xfId="0" applyFont="1" applyBorder="1" applyAlignment="1">
      <alignment horizontal="left" wrapText="1"/>
    </xf>
    <xf numFmtId="0" fontId="30" fillId="0" borderId="10" xfId="0" applyFont="1" applyBorder="1" applyAlignment="1">
      <alignment horizontal="left" wrapText="1"/>
    </xf>
    <xf numFmtId="0" fontId="30" fillId="0" borderId="18" xfId="0" applyFont="1" applyBorder="1" applyAlignment="1">
      <alignment horizontal="left" wrapText="1"/>
    </xf>
    <xf numFmtId="0" fontId="40" fillId="37" borderId="23" xfId="0" applyFont="1" applyFill="1" applyBorder="1" applyAlignment="1">
      <alignment horizontal="center" wrapText="1"/>
    </xf>
    <xf numFmtId="0" fontId="40" fillId="37" borderId="0" xfId="0" applyFont="1" applyFill="1" applyBorder="1" applyAlignment="1">
      <alignment horizontal="center" wrapText="1"/>
    </xf>
    <xf numFmtId="0" fontId="40" fillId="37" borderId="19" xfId="0" applyFont="1" applyFill="1" applyBorder="1" applyAlignment="1">
      <alignment horizontal="center" wrapText="1"/>
    </xf>
    <xf numFmtId="0" fontId="39" fillId="0" borderId="15" xfId="0" applyFont="1" applyBorder="1" applyAlignment="1">
      <alignment horizontal="center" wrapText="1"/>
    </xf>
    <xf numFmtId="0" fontId="39" fillId="0" borderId="12" xfId="0" applyFont="1" applyBorder="1" applyAlignment="1">
      <alignment horizontal="center" wrapText="1"/>
    </xf>
    <xf numFmtId="0" fontId="32" fillId="37" borderId="14" xfId="0" applyFont="1" applyFill="1" applyBorder="1" applyAlignment="1">
      <alignment horizontal="center" wrapText="1"/>
    </xf>
    <xf numFmtId="0" fontId="32" fillId="37" borderId="10" xfId="0" applyFont="1" applyFill="1" applyBorder="1" applyAlignment="1">
      <alignment horizontal="center" wrapText="1"/>
    </xf>
    <xf numFmtId="0" fontId="32" fillId="37" borderId="18" xfId="0" applyFont="1" applyFill="1" applyBorder="1" applyAlignment="1">
      <alignment horizontal="center" wrapText="1"/>
    </xf>
    <xf numFmtId="0" fontId="22" fillId="0" borderId="14" xfId="0" applyFont="1" applyFill="1" applyBorder="1" applyAlignment="1">
      <alignment horizontal="center" wrapText="1"/>
    </xf>
    <xf numFmtId="0" fontId="22" fillId="0" borderId="10" xfId="0" applyFont="1" applyFill="1" applyBorder="1" applyAlignment="1">
      <alignment horizontal="center" wrapText="1"/>
    </xf>
    <xf numFmtId="0" fontId="22" fillId="0" borderId="18" xfId="0" applyFont="1" applyFill="1" applyBorder="1" applyAlignment="1">
      <alignment horizontal="center" wrapText="1"/>
    </xf>
    <xf numFmtId="0" fontId="48" fillId="0" borderId="14" xfId="0" applyFont="1" applyFill="1" applyBorder="1" applyAlignment="1">
      <alignment horizontal="left" wrapText="1"/>
    </xf>
    <xf numFmtId="0" fontId="30" fillId="0" borderId="10" xfId="0" applyFont="1" applyFill="1" applyBorder="1" applyAlignment="1">
      <alignment horizontal="left" wrapText="1"/>
    </xf>
    <xf numFmtId="0" fontId="30" fillId="0" borderId="18" xfId="0" applyFont="1" applyFill="1" applyBorder="1" applyAlignment="1">
      <alignment horizontal="left" wrapText="1"/>
    </xf>
    <xf numFmtId="0" fontId="31" fillId="0" borderId="14" xfId="0" applyFont="1" applyBorder="1" applyAlignment="1">
      <alignment horizontal="center" wrapText="1"/>
    </xf>
    <xf numFmtId="0" fontId="31" fillId="0" borderId="10" xfId="0" applyFont="1" applyBorder="1" applyAlignment="1">
      <alignment horizontal="center" wrapText="1"/>
    </xf>
    <xf numFmtId="0" fontId="31" fillId="0" borderId="18" xfId="0" applyFont="1" applyBorder="1" applyAlignment="1">
      <alignment horizontal="center" wrapText="1"/>
    </xf>
    <xf numFmtId="0" fontId="22" fillId="37" borderId="14" xfId="0" applyFont="1" applyFill="1" applyBorder="1" applyAlignment="1">
      <alignment horizontal="center" wrapText="1"/>
    </xf>
    <xf numFmtId="0" fontId="22" fillId="37" borderId="10" xfId="0" applyFont="1" applyFill="1" applyBorder="1" applyAlignment="1">
      <alignment horizontal="center" wrapText="1"/>
    </xf>
    <xf numFmtId="0" fontId="22" fillId="37" borderId="18" xfId="0" applyFont="1" applyFill="1" applyBorder="1" applyAlignment="1">
      <alignment horizontal="center" wrapText="1"/>
    </xf>
    <xf numFmtId="0" fontId="65" fillId="0" borderId="14" xfId="0" applyFont="1" applyFill="1" applyBorder="1" applyAlignment="1">
      <alignment horizontal="right" wrapText="1"/>
    </xf>
    <xf numFmtId="0" fontId="65" fillId="0" borderId="18" xfId="0" applyFont="1" applyFill="1" applyBorder="1" applyAlignment="1">
      <alignment horizontal="right" wrapText="1"/>
    </xf>
    <xf numFmtId="0" fontId="11" fillId="49" borderId="12" xfId="0" applyFont="1" applyFill="1" applyBorder="1" applyAlignment="1">
      <alignment horizontal="left" wrapText="1"/>
    </xf>
    <xf numFmtId="0" fontId="31" fillId="37" borderId="14" xfId="0" applyFont="1" applyFill="1" applyBorder="1" applyAlignment="1">
      <alignment horizontal="left" wrapText="1"/>
    </xf>
    <xf numFmtId="0" fontId="31" fillId="37" borderId="10" xfId="0" applyFont="1" applyFill="1" applyBorder="1" applyAlignment="1">
      <alignment horizontal="left" wrapText="1"/>
    </xf>
    <xf numFmtId="0" fontId="31" fillId="37" borderId="18" xfId="0" applyFont="1" applyFill="1" applyBorder="1" applyAlignment="1">
      <alignment horizontal="left" wrapText="1"/>
    </xf>
    <xf numFmtId="171" fontId="31" fillId="37" borderId="14" xfId="63" applyFont="1" applyFill="1" applyBorder="1" applyAlignment="1">
      <alignment horizontal="left" wrapText="1"/>
    </xf>
    <xf numFmtId="171" fontId="31" fillId="37" borderId="10" xfId="63" applyFont="1" applyFill="1" applyBorder="1" applyAlignment="1">
      <alignment horizontal="left" wrapText="1"/>
    </xf>
    <xf numFmtId="171" fontId="31" fillId="37" borderId="18" xfId="63" applyFont="1" applyFill="1" applyBorder="1" applyAlignment="1">
      <alignment horizontal="left" wrapText="1"/>
    </xf>
    <xf numFmtId="0" fontId="0" fillId="0" borderId="0" xfId="0" applyFill="1" applyAlignment="1">
      <alignment horizontal="center"/>
    </xf>
    <xf numFmtId="0" fontId="32" fillId="37" borderId="22" xfId="0" applyFont="1" applyFill="1" applyBorder="1" applyAlignment="1">
      <alignment horizontal="center" wrapText="1"/>
    </xf>
    <xf numFmtId="0" fontId="32" fillId="37" borderId="11" xfId="0" applyFont="1" applyFill="1" applyBorder="1" applyAlignment="1">
      <alignment horizontal="center" wrapText="1"/>
    </xf>
    <xf numFmtId="0" fontId="32" fillId="37" borderId="40" xfId="0" applyFont="1" applyFill="1" applyBorder="1" applyAlignment="1">
      <alignment horizontal="center" wrapText="1"/>
    </xf>
    <xf numFmtId="0" fontId="31" fillId="0" borderId="15" xfId="0" applyFont="1" applyFill="1" applyBorder="1" applyAlignment="1">
      <alignment horizontal="left" wrapText="1"/>
    </xf>
    <xf numFmtId="0" fontId="31" fillId="0" borderId="12" xfId="0" applyFont="1" applyFill="1" applyBorder="1" applyAlignment="1">
      <alignment horizontal="left" wrapText="1"/>
    </xf>
    <xf numFmtId="0" fontId="31" fillId="0" borderId="20" xfId="0" applyFont="1" applyFill="1" applyBorder="1" applyAlignment="1">
      <alignment horizontal="left" wrapText="1"/>
    </xf>
    <xf numFmtId="0" fontId="30" fillId="0" borderId="22" xfId="63" applyNumberFormat="1" applyFont="1" applyFill="1" applyBorder="1" applyAlignment="1">
      <alignment horizontal="left" vertical="center" wrapText="1" readingOrder="1"/>
    </xf>
    <xf numFmtId="0" fontId="30" fillId="0" borderId="11" xfId="63" applyNumberFormat="1" applyFont="1" applyFill="1" applyBorder="1" applyAlignment="1">
      <alignment horizontal="left" vertical="center" wrapText="1" readingOrder="1"/>
    </xf>
    <xf numFmtId="0" fontId="30" fillId="0" borderId="40" xfId="63" applyNumberFormat="1" applyFont="1" applyFill="1" applyBorder="1" applyAlignment="1">
      <alignment horizontal="left" vertical="center" wrapText="1" readingOrder="1"/>
    </xf>
    <xf numFmtId="0" fontId="30" fillId="0" borderId="15" xfId="63" applyNumberFormat="1" applyFont="1" applyFill="1" applyBorder="1" applyAlignment="1">
      <alignment horizontal="left" vertical="center" wrapText="1" readingOrder="1"/>
    </xf>
    <xf numFmtId="0" fontId="30" fillId="0" borderId="12" xfId="63" applyNumberFormat="1" applyFont="1" applyFill="1" applyBorder="1" applyAlignment="1">
      <alignment horizontal="left" vertical="center" wrapText="1" readingOrder="1"/>
    </xf>
    <xf numFmtId="0" fontId="30" fillId="0" borderId="20" xfId="63" applyNumberFormat="1" applyFont="1" applyFill="1" applyBorder="1" applyAlignment="1">
      <alignment horizontal="left" vertical="center" wrapText="1" readingOrder="1"/>
    </xf>
    <xf numFmtId="0" fontId="38" fillId="0" borderId="22" xfId="0" applyFont="1" applyFill="1" applyBorder="1" applyAlignment="1">
      <alignment horizontal="center" wrapText="1"/>
    </xf>
    <xf numFmtId="0" fontId="38" fillId="0" borderId="11" xfId="0" applyFont="1" applyFill="1" applyBorder="1" applyAlignment="1">
      <alignment horizontal="center" wrapText="1"/>
    </xf>
    <xf numFmtId="0" fontId="38" fillId="0" borderId="40" xfId="0" applyFont="1" applyFill="1" applyBorder="1" applyAlignment="1">
      <alignment horizontal="center" wrapText="1"/>
    </xf>
    <xf numFmtId="0" fontId="29" fillId="0" borderId="15" xfId="0" applyFont="1" applyBorder="1" applyAlignment="1">
      <alignment horizontal="left"/>
    </xf>
    <xf numFmtId="0" fontId="29" fillId="0" borderId="12" xfId="0" applyFont="1" applyBorder="1" applyAlignment="1">
      <alignment horizontal="left"/>
    </xf>
    <xf numFmtId="0" fontId="29" fillId="0" borderId="20" xfId="0" applyFont="1" applyBorder="1" applyAlignment="1">
      <alignment horizontal="left"/>
    </xf>
    <xf numFmtId="0" fontId="22" fillId="0" borderId="14" xfId="0" applyFont="1" applyFill="1" applyBorder="1" applyAlignment="1">
      <alignment horizontal="left" wrapText="1"/>
    </xf>
    <xf numFmtId="0" fontId="22" fillId="0" borderId="10" xfId="0" applyFont="1" applyFill="1" applyBorder="1" applyAlignment="1">
      <alignment horizontal="left" wrapText="1"/>
    </xf>
    <xf numFmtId="0" fontId="22" fillId="0" borderId="18" xfId="0" applyFont="1" applyFill="1" applyBorder="1" applyAlignment="1">
      <alignment horizontal="left" wrapText="1"/>
    </xf>
    <xf numFmtId="0" fontId="30" fillId="0" borderId="22" xfId="0" applyFont="1" applyBorder="1" applyAlignment="1">
      <alignment horizontal="left" wrapText="1"/>
    </xf>
    <xf numFmtId="0" fontId="30" fillId="0" borderId="11" xfId="0" applyFont="1" applyBorder="1" applyAlignment="1">
      <alignment horizontal="left" wrapText="1"/>
    </xf>
    <xf numFmtId="0" fontId="30" fillId="0" borderId="40" xfId="0" applyFont="1" applyBorder="1" applyAlignment="1">
      <alignment horizontal="left" wrapText="1"/>
    </xf>
    <xf numFmtId="171" fontId="30" fillId="0" borderId="17" xfId="63" applyFont="1" applyFill="1" applyBorder="1" applyAlignment="1">
      <alignment horizontal="center" wrapText="1"/>
    </xf>
    <xf numFmtId="171" fontId="30" fillId="0" borderId="16" xfId="63" applyFont="1" applyFill="1" applyBorder="1" applyAlignment="1">
      <alignment horizontal="center" wrapText="1"/>
    </xf>
    <xf numFmtId="0" fontId="30" fillId="0" borderId="15" xfId="0" applyFont="1" applyBorder="1" applyAlignment="1">
      <alignment horizontal="left" wrapText="1"/>
    </xf>
    <xf numFmtId="0" fontId="30" fillId="0" borderId="12" xfId="0" applyFont="1" applyBorder="1" applyAlignment="1">
      <alignment horizontal="left" wrapText="1"/>
    </xf>
    <xf numFmtId="0" fontId="30" fillId="0" borderId="20" xfId="0" applyFont="1" applyBorder="1" applyAlignment="1">
      <alignment horizontal="left" wrapText="1"/>
    </xf>
    <xf numFmtId="0" fontId="40" fillId="37" borderId="14" xfId="0" applyFont="1" applyFill="1" applyBorder="1" applyAlignment="1">
      <alignment horizontal="center" wrapText="1"/>
    </xf>
    <xf numFmtId="0" fontId="40" fillId="37" borderId="10" xfId="0" applyFont="1" applyFill="1" applyBorder="1" applyAlignment="1">
      <alignment horizontal="center" wrapText="1"/>
    </xf>
    <xf numFmtId="0" fontId="40" fillId="37" borderId="18" xfId="0" applyFont="1" applyFill="1" applyBorder="1" applyAlignment="1">
      <alignment horizontal="center" wrapText="1"/>
    </xf>
    <xf numFmtId="0" fontId="29" fillId="37" borderId="17" xfId="0" applyFont="1" applyFill="1" applyBorder="1" applyAlignment="1">
      <alignment horizontal="center" wrapText="1"/>
    </xf>
    <xf numFmtId="0" fontId="29" fillId="37" borderId="16" xfId="0" applyFont="1" applyFill="1" applyBorder="1" applyAlignment="1">
      <alignment horizontal="center" wrapText="1"/>
    </xf>
    <xf numFmtId="0" fontId="29" fillId="37" borderId="17" xfId="0" applyFont="1" applyFill="1" applyBorder="1" applyAlignment="1">
      <alignment horizontal="left" wrapText="1"/>
    </xf>
    <xf numFmtId="0" fontId="29" fillId="37" borderId="16" xfId="0" applyFont="1" applyFill="1" applyBorder="1" applyAlignment="1">
      <alignment horizontal="left" wrapText="1"/>
    </xf>
    <xf numFmtId="0" fontId="61" fillId="37" borderId="22" xfId="0" applyFont="1" applyFill="1" applyBorder="1" applyAlignment="1">
      <alignment horizontal="center" wrapText="1"/>
    </xf>
    <xf numFmtId="0" fontId="61" fillId="37" borderId="11" xfId="0" applyFont="1" applyFill="1" applyBorder="1" applyAlignment="1">
      <alignment horizontal="center" wrapText="1"/>
    </xf>
    <xf numFmtId="0" fontId="13" fillId="0" borderId="15" xfId="0" applyFont="1" applyFill="1" applyBorder="1" applyAlignment="1">
      <alignment horizontal="center" wrapText="1"/>
    </xf>
    <xf numFmtId="0" fontId="13" fillId="0" borderId="12" xfId="0" applyFont="1" applyFill="1" applyBorder="1" applyAlignment="1">
      <alignment horizontal="center" wrapText="1"/>
    </xf>
    <xf numFmtId="0" fontId="13" fillId="0" borderId="20" xfId="0" applyFont="1" applyFill="1" applyBorder="1" applyAlignment="1">
      <alignment horizontal="center" wrapText="1"/>
    </xf>
    <xf numFmtId="0" fontId="22" fillId="36" borderId="15" xfId="0" applyFont="1" applyFill="1" applyBorder="1" applyAlignment="1">
      <alignment horizontal="center" wrapText="1"/>
    </xf>
    <xf numFmtId="0" fontId="22" fillId="36" borderId="20" xfId="0" applyFont="1" applyFill="1" applyBorder="1" applyAlignment="1">
      <alignment horizontal="center" wrapText="1"/>
    </xf>
    <xf numFmtId="0" fontId="30" fillId="0" borderId="14" xfId="0" applyFont="1" applyBorder="1" applyAlignment="1">
      <alignment horizontal="left" wrapText="1"/>
    </xf>
    <xf numFmtId="0" fontId="33" fillId="0" borderId="23" xfId="0" applyFont="1" applyFill="1" applyBorder="1" applyAlignment="1">
      <alignment horizontal="center" wrapText="1"/>
    </xf>
    <xf numFmtId="0" fontId="33" fillId="0" borderId="0" xfId="0" applyFont="1" applyFill="1" applyBorder="1" applyAlignment="1">
      <alignment horizontal="center" wrapText="1"/>
    </xf>
    <xf numFmtId="0" fontId="33" fillId="0" borderId="19" xfId="0" applyFont="1" applyFill="1" applyBorder="1" applyAlignment="1">
      <alignment horizontal="center" wrapText="1"/>
    </xf>
    <xf numFmtId="0" fontId="22" fillId="0" borderId="15" xfId="0" applyFont="1" applyFill="1" applyBorder="1" applyAlignment="1">
      <alignment horizontal="left" wrapText="1"/>
    </xf>
    <xf numFmtId="0" fontId="22" fillId="0" borderId="12" xfId="0" applyFont="1" applyFill="1" applyBorder="1" applyAlignment="1">
      <alignment horizontal="left" wrapText="1"/>
    </xf>
    <xf numFmtId="0" fontId="22" fillId="0" borderId="20" xfId="0" applyFont="1" applyFill="1" applyBorder="1" applyAlignment="1">
      <alignment horizontal="left" wrapText="1"/>
    </xf>
    <xf numFmtId="0" fontId="54" fillId="0" borderId="23" xfId="0" applyFont="1" applyBorder="1" applyAlignment="1">
      <alignment horizontal="center" wrapText="1"/>
    </xf>
    <xf numFmtId="0" fontId="54" fillId="0" borderId="0" xfId="0" applyFont="1" applyBorder="1" applyAlignment="1">
      <alignment horizontal="center" wrapText="1"/>
    </xf>
    <xf numFmtId="0" fontId="54" fillId="0" borderId="19" xfId="0" applyFont="1" applyBorder="1" applyAlignment="1">
      <alignment horizontal="center" wrapText="1"/>
    </xf>
    <xf numFmtId="0" fontId="22" fillId="0" borderId="15" xfId="0" applyFont="1" applyBorder="1" applyAlignment="1">
      <alignment horizontal="left"/>
    </xf>
    <xf numFmtId="0" fontId="22" fillId="0" borderId="12" xfId="0" applyFont="1" applyBorder="1" applyAlignment="1">
      <alignment horizontal="left"/>
    </xf>
    <xf numFmtId="0" fontId="22" fillId="49" borderId="14" xfId="0" applyFont="1" applyFill="1" applyBorder="1" applyAlignment="1">
      <alignment horizontal="center" wrapText="1"/>
    </xf>
    <xf numFmtId="0" fontId="22" fillId="49" borderId="10" xfId="0" applyFont="1" applyFill="1" applyBorder="1" applyAlignment="1">
      <alignment horizontal="center" wrapText="1"/>
    </xf>
    <xf numFmtId="0" fontId="22" fillId="49" borderId="18" xfId="0" applyFont="1" applyFill="1" applyBorder="1" applyAlignment="1">
      <alignment horizontal="center" wrapText="1"/>
    </xf>
    <xf numFmtId="0" fontId="22" fillId="0" borderId="14" xfId="0" applyFont="1" applyFill="1" applyBorder="1" applyAlignment="1">
      <alignment horizontal="right" wrapText="1"/>
    </xf>
    <xf numFmtId="0" fontId="22" fillId="0" borderId="10" xfId="0" applyFont="1" applyFill="1" applyBorder="1" applyAlignment="1">
      <alignment horizontal="right" wrapText="1"/>
    </xf>
    <xf numFmtId="0" fontId="22" fillId="0" borderId="18" xfId="0" applyFont="1" applyFill="1" applyBorder="1" applyAlignment="1">
      <alignment horizontal="right" wrapText="1"/>
    </xf>
    <xf numFmtId="0" fontId="53" fillId="37" borderId="14" xfId="0" applyFont="1" applyFill="1" applyBorder="1" applyAlignment="1">
      <alignment horizontal="left" wrapText="1"/>
    </xf>
    <xf numFmtId="0" fontId="53" fillId="37" borderId="18" xfId="0" applyFont="1" applyFill="1" applyBorder="1" applyAlignment="1">
      <alignment horizontal="left" wrapText="1"/>
    </xf>
    <xf numFmtId="0" fontId="54" fillId="0" borderId="23" xfId="0" applyFont="1" applyFill="1" applyBorder="1" applyAlignment="1">
      <alignment horizontal="center" wrapText="1"/>
    </xf>
    <xf numFmtId="0" fontId="54" fillId="0" borderId="0" xfId="0" applyFont="1" applyFill="1" applyBorder="1" applyAlignment="1">
      <alignment horizontal="center" wrapText="1"/>
    </xf>
    <xf numFmtId="0" fontId="54" fillId="0" borderId="19" xfId="0" applyFont="1" applyFill="1" applyBorder="1" applyAlignment="1">
      <alignment horizontal="center" wrapText="1"/>
    </xf>
    <xf numFmtId="0" fontId="53" fillId="37" borderId="14" xfId="0" applyFont="1" applyFill="1" applyBorder="1" applyAlignment="1">
      <alignment horizontal="center" wrapText="1"/>
    </xf>
    <xf numFmtId="0" fontId="53" fillId="37" borderId="10" xfId="0" applyFont="1" applyFill="1" applyBorder="1" applyAlignment="1">
      <alignment horizontal="center" wrapText="1"/>
    </xf>
    <xf numFmtId="0" fontId="53" fillId="37" borderId="18" xfId="0" applyFont="1" applyFill="1" applyBorder="1" applyAlignment="1">
      <alignment horizontal="center" wrapText="1"/>
    </xf>
    <xf numFmtId="0" fontId="36" fillId="0" borderId="17" xfId="0" applyFont="1" applyFill="1" applyBorder="1" applyAlignment="1">
      <alignment horizontal="center" vertical="center" textRotation="90" wrapText="1"/>
    </xf>
    <xf numFmtId="0" fontId="36" fillId="0" borderId="21" xfId="0" applyFont="1" applyFill="1" applyBorder="1" applyAlignment="1">
      <alignment horizontal="center" vertical="center" textRotation="90" wrapText="1"/>
    </xf>
    <xf numFmtId="0" fontId="36" fillId="0" borderId="16" xfId="0" applyFont="1" applyFill="1" applyBorder="1" applyAlignment="1">
      <alignment horizontal="center" vertical="center" textRotation="90" wrapText="1"/>
    </xf>
    <xf numFmtId="0" fontId="34" fillId="0" borderId="13" xfId="0" applyFont="1" applyFill="1" applyBorder="1" applyAlignment="1">
      <alignment horizontal="center" vertical="center" wrapText="1"/>
    </xf>
    <xf numFmtId="0" fontId="34" fillId="43" borderId="13" xfId="0" applyFont="1" applyFill="1" applyBorder="1" applyAlignment="1">
      <alignment horizontal="center" vertical="center" wrapText="1"/>
    </xf>
    <xf numFmtId="0" fontId="36" fillId="0" borderId="13" xfId="0" applyFont="1" applyBorder="1" applyAlignment="1">
      <alignment/>
    </xf>
    <xf numFmtId="0" fontId="34" fillId="0" borderId="17" xfId="0" applyFont="1" applyFill="1" applyBorder="1" applyAlignment="1">
      <alignment horizontal="center" vertical="center" wrapText="1"/>
    </xf>
    <xf numFmtId="0" fontId="56" fillId="37" borderId="13" xfId="0" applyFont="1" applyFill="1" applyBorder="1" applyAlignment="1">
      <alignment horizontal="center" wrapText="1"/>
    </xf>
    <xf numFmtId="0" fontId="19" fillId="0" borderId="13" xfId="0" applyFont="1" applyBorder="1" applyAlignment="1">
      <alignment/>
    </xf>
    <xf numFmtId="171" fontId="36" fillId="52" borderId="17" xfId="63" applyFont="1" applyFill="1" applyBorder="1" applyAlignment="1">
      <alignment horizontal="center" wrapText="1"/>
    </xf>
    <xf numFmtId="171" fontId="36" fillId="52" borderId="21" xfId="63" applyFont="1" applyFill="1" applyBorder="1" applyAlignment="1">
      <alignment horizontal="center" wrapText="1"/>
    </xf>
    <xf numFmtId="171" fontId="36" fillId="52" borderId="16" xfId="63" applyFont="1" applyFill="1" applyBorder="1" applyAlignment="1">
      <alignment horizontal="center" wrapText="1"/>
    </xf>
    <xf numFmtId="49" fontId="36" fillId="0" borderId="17" xfId="63" applyNumberFormat="1" applyFont="1" applyFill="1" applyBorder="1" applyAlignment="1">
      <alignment horizontal="center" vertical="center" wrapText="1"/>
    </xf>
    <xf numFmtId="49" fontId="36" fillId="0" borderId="21" xfId="63" applyNumberFormat="1" applyFont="1" applyFill="1" applyBorder="1" applyAlignment="1">
      <alignment horizontal="center" vertical="center" wrapText="1"/>
    </xf>
    <xf numFmtId="171" fontId="36" fillId="0" borderId="11" xfId="63" applyFont="1" applyFill="1" applyBorder="1" applyAlignment="1">
      <alignment horizontal="center" vertical="center" wrapText="1"/>
    </xf>
    <xf numFmtId="171" fontId="36" fillId="0" borderId="0" xfId="63" applyFont="1" applyFill="1" applyBorder="1" applyAlignment="1">
      <alignment horizontal="center" vertical="center" wrapText="1"/>
    </xf>
    <xf numFmtId="171" fontId="36" fillId="0" borderId="12" xfId="63" applyFont="1" applyFill="1" applyBorder="1" applyAlignment="1">
      <alignment horizontal="center" vertical="center" wrapText="1"/>
    </xf>
    <xf numFmtId="171" fontId="36" fillId="0" borderId="17" xfId="63" applyFont="1" applyBorder="1" applyAlignment="1">
      <alignment horizontal="center" vertical="center" wrapText="1"/>
    </xf>
    <xf numFmtId="171" fontId="36" fillId="0" borderId="16" xfId="63" applyFont="1" applyBorder="1" applyAlignment="1">
      <alignment horizontal="center" vertical="center" wrapText="1"/>
    </xf>
    <xf numFmtId="0" fontId="34" fillId="0" borderId="23" xfId="0" applyFont="1" applyBorder="1" applyAlignment="1">
      <alignment horizontal="left" wrapText="1"/>
    </xf>
    <xf numFmtId="0" fontId="34" fillId="0" borderId="0" xfId="0" applyFont="1" applyBorder="1" applyAlignment="1">
      <alignment horizontal="left" wrapText="1"/>
    </xf>
    <xf numFmtId="0" fontId="36" fillId="0" borderId="0" xfId="0" applyFont="1" applyBorder="1" applyAlignment="1">
      <alignment horizontal="left" wrapText="1"/>
    </xf>
    <xf numFmtId="0" fontId="36" fillId="0" borderId="19" xfId="0" applyFont="1" applyBorder="1" applyAlignment="1">
      <alignment horizontal="left" wrapText="1"/>
    </xf>
    <xf numFmtId="0" fontId="29" fillId="0" borderId="15" xfId="0" applyFont="1" applyFill="1" applyBorder="1" applyAlignment="1">
      <alignment horizontal="left" wrapText="1"/>
    </xf>
    <xf numFmtId="0" fontId="29" fillId="0" borderId="12" xfId="0" applyFont="1" applyFill="1" applyBorder="1" applyAlignment="1">
      <alignment horizontal="left" wrapText="1"/>
    </xf>
    <xf numFmtId="0" fontId="29" fillId="0" borderId="20" xfId="0" applyFont="1" applyFill="1" applyBorder="1" applyAlignment="1">
      <alignment horizontal="left" wrapText="1"/>
    </xf>
    <xf numFmtId="171" fontId="34" fillId="43" borderId="14" xfId="63" applyFont="1" applyFill="1" applyBorder="1" applyAlignment="1">
      <alignment horizontal="left" wrapText="1"/>
    </xf>
    <xf numFmtId="171" fontId="34" fillId="43" borderId="18" xfId="63" applyFont="1" applyFill="1" applyBorder="1" applyAlignment="1">
      <alignment horizontal="left" wrapText="1"/>
    </xf>
    <xf numFmtId="171" fontId="36" fillId="0" borderId="14" xfId="63" applyFont="1" applyFill="1" applyBorder="1" applyAlignment="1">
      <alignment horizontal="left" wrapText="1"/>
    </xf>
    <xf numFmtId="171" fontId="36" fillId="0" borderId="10" xfId="63" applyFont="1" applyFill="1" applyBorder="1" applyAlignment="1">
      <alignment horizontal="left" wrapText="1"/>
    </xf>
    <xf numFmtId="171" fontId="36" fillId="0" borderId="18" xfId="63" applyFont="1" applyFill="1" applyBorder="1" applyAlignment="1">
      <alignment horizontal="left" wrapText="1"/>
    </xf>
    <xf numFmtId="49" fontId="34" fillId="0" borderId="23" xfId="63" applyNumberFormat="1" applyFont="1" applyFill="1" applyBorder="1" applyAlignment="1">
      <alignment horizontal="left" wrapText="1"/>
    </xf>
    <xf numFmtId="49" fontId="34" fillId="0" borderId="0" xfId="63" applyNumberFormat="1" applyFont="1" applyFill="1" applyBorder="1" applyAlignment="1">
      <alignment horizontal="left" wrapText="1"/>
    </xf>
    <xf numFmtId="49" fontId="36" fillId="0" borderId="0" xfId="63" applyNumberFormat="1" applyFont="1" applyFill="1" applyBorder="1" applyAlignment="1">
      <alignment horizontal="left" wrapText="1"/>
    </xf>
    <xf numFmtId="49" fontId="36" fillId="0" borderId="19" xfId="63" applyNumberFormat="1" applyFont="1" applyFill="1" applyBorder="1" applyAlignment="1">
      <alignment horizontal="left" wrapText="1"/>
    </xf>
    <xf numFmtId="0" fontId="19" fillId="0" borderId="23" xfId="0" applyNumberFormat="1" applyFont="1" applyBorder="1" applyAlignment="1">
      <alignment horizontal="left" wrapText="1" readingOrder="1"/>
    </xf>
    <xf numFmtId="0" fontId="19" fillId="0" borderId="0" xfId="0" applyNumberFormat="1" applyFont="1" applyBorder="1" applyAlignment="1">
      <alignment horizontal="left" wrapText="1" readingOrder="1"/>
    </xf>
    <xf numFmtId="0" fontId="19" fillId="0" borderId="19" xfId="0" applyNumberFormat="1" applyFont="1" applyBorder="1" applyAlignment="1">
      <alignment horizontal="left" wrapText="1" readingOrder="1"/>
    </xf>
    <xf numFmtId="0" fontId="22" fillId="57" borderId="13" xfId="0" applyFont="1" applyFill="1" applyBorder="1" applyAlignment="1">
      <alignment horizontal="center"/>
    </xf>
    <xf numFmtId="0" fontId="22" fillId="55" borderId="13" xfId="0" applyFont="1" applyFill="1" applyBorder="1" applyAlignment="1">
      <alignment horizontal="center"/>
    </xf>
    <xf numFmtId="0" fontId="11" fillId="55" borderId="13" xfId="0" applyFont="1" applyFill="1" applyBorder="1" applyAlignment="1">
      <alignment horizontal="center"/>
    </xf>
    <xf numFmtId="0" fontId="22" fillId="56" borderId="13" xfId="0" applyFont="1" applyFill="1" applyBorder="1" applyAlignment="1">
      <alignment horizontal="center"/>
    </xf>
    <xf numFmtId="0" fontId="19" fillId="0" borderId="15" xfId="0" applyNumberFormat="1" applyFont="1" applyBorder="1" applyAlignment="1">
      <alignment horizontal="left" wrapText="1" readingOrder="1"/>
    </xf>
    <xf numFmtId="0" fontId="19" fillId="0" borderId="12" xfId="0" applyNumberFormat="1" applyFont="1" applyBorder="1" applyAlignment="1">
      <alignment horizontal="left" wrapText="1" readingOrder="1"/>
    </xf>
    <xf numFmtId="0" fontId="19" fillId="0" borderId="20" xfId="0" applyNumberFormat="1" applyFont="1" applyBorder="1" applyAlignment="1">
      <alignment horizontal="left" wrapText="1" readingOrder="1"/>
    </xf>
    <xf numFmtId="0" fontId="22" fillId="0" borderId="14" xfId="0" applyFont="1" applyBorder="1" applyAlignment="1">
      <alignment horizontal="left"/>
    </xf>
    <xf numFmtId="0" fontId="22" fillId="0" borderId="10" xfId="0" applyFont="1" applyBorder="1" applyAlignment="1">
      <alignment horizontal="left"/>
    </xf>
    <xf numFmtId="0" fontId="22" fillId="0" borderId="18" xfId="0" applyFont="1" applyBorder="1" applyAlignment="1">
      <alignment horizontal="left"/>
    </xf>
    <xf numFmtId="0" fontId="22" fillId="0" borderId="22" xfId="0" applyNumberFormat="1" applyFont="1" applyBorder="1" applyAlignment="1">
      <alignment horizontal="left" wrapText="1" readingOrder="1"/>
    </xf>
    <xf numFmtId="0" fontId="19" fillId="0" borderId="11" xfId="0" applyNumberFormat="1" applyFont="1" applyBorder="1" applyAlignment="1">
      <alignment horizontal="left" wrapText="1" readingOrder="1"/>
    </xf>
    <xf numFmtId="0" fontId="19" fillId="0" borderId="40" xfId="0" applyNumberFormat="1" applyFont="1" applyBorder="1" applyAlignment="1">
      <alignment horizontal="left" wrapText="1" readingOrder="1"/>
    </xf>
    <xf numFmtId="0" fontId="22" fillId="0" borderId="22" xfId="0" applyFont="1" applyBorder="1" applyAlignment="1">
      <alignment horizontal="left" wrapText="1" readingOrder="1"/>
    </xf>
    <xf numFmtId="0" fontId="19" fillId="0" borderId="11" xfId="0" applyFont="1" applyBorder="1" applyAlignment="1">
      <alignment horizontal="left" wrapText="1" readingOrder="1"/>
    </xf>
    <xf numFmtId="0" fontId="19" fillId="0" borderId="40" xfId="0" applyFont="1" applyBorder="1" applyAlignment="1">
      <alignment horizontal="left" wrapText="1" readingOrder="1"/>
    </xf>
    <xf numFmtId="0" fontId="19" fillId="0" borderId="10" xfId="0" applyFont="1" applyBorder="1" applyAlignment="1">
      <alignment horizontal="left" vertical="center" wrapText="1"/>
    </xf>
    <xf numFmtId="0" fontId="61" fillId="37" borderId="41" xfId="0" applyFont="1" applyFill="1" applyBorder="1" applyAlignment="1">
      <alignment horizontal="center" wrapText="1"/>
    </xf>
    <xf numFmtId="0" fontId="61" fillId="37" borderId="42" xfId="0" applyFont="1" applyFill="1" applyBorder="1" applyAlignment="1">
      <alignment horizontal="center" wrapText="1"/>
    </xf>
    <xf numFmtId="0" fontId="61" fillId="37" borderId="43" xfId="0" applyFont="1" applyFill="1" applyBorder="1" applyAlignment="1">
      <alignment horizontal="center" wrapText="1"/>
    </xf>
    <xf numFmtId="3" fontId="75" fillId="56" borderId="14" xfId="0" applyNumberFormat="1" applyFont="1" applyFill="1" applyBorder="1" applyAlignment="1">
      <alignment horizontal="center" vertical="center" textRotation="45" wrapText="1"/>
    </xf>
    <xf numFmtId="3" fontId="75" fillId="56" borderId="18" xfId="0" applyNumberFormat="1" applyFont="1" applyFill="1" applyBorder="1" applyAlignment="1">
      <alignment horizontal="center" vertical="center" textRotation="45" wrapText="1"/>
    </xf>
    <xf numFmtId="3" fontId="74" fillId="68" borderId="44" xfId="0" applyNumberFormat="1" applyFont="1" applyFill="1" applyBorder="1" applyAlignment="1">
      <alignment horizontal="left"/>
    </xf>
    <xf numFmtId="3" fontId="74" fillId="68" borderId="12" xfId="0" applyNumberFormat="1" applyFont="1" applyFill="1" applyBorder="1" applyAlignment="1">
      <alignment horizontal="left"/>
    </xf>
    <xf numFmtId="3" fontId="74" fillId="68" borderId="45" xfId="0" applyNumberFormat="1" applyFont="1" applyFill="1" applyBorder="1" applyAlignment="1">
      <alignment horizontal="left"/>
    </xf>
    <xf numFmtId="3" fontId="74" fillId="37" borderId="46" xfId="0" applyNumberFormat="1" applyFont="1" applyFill="1" applyBorder="1" applyAlignment="1">
      <alignment horizontal="center" vertical="center" wrapText="1"/>
    </xf>
    <xf numFmtId="3" fontId="74" fillId="37" borderId="10" xfId="0" applyNumberFormat="1" applyFont="1" applyFill="1" applyBorder="1" applyAlignment="1">
      <alignment horizontal="center" vertical="center" wrapText="1"/>
    </xf>
    <xf numFmtId="49" fontId="75" fillId="37" borderId="14" xfId="0" applyNumberFormat="1" applyFont="1" applyFill="1" applyBorder="1" applyAlignment="1">
      <alignment horizontal="center"/>
    </xf>
    <xf numFmtId="49" fontId="75" fillId="37" borderId="10" xfId="0" applyNumberFormat="1" applyFont="1" applyFill="1" applyBorder="1" applyAlignment="1">
      <alignment horizontal="center"/>
    </xf>
    <xf numFmtId="49" fontId="75" fillId="37" borderId="47" xfId="0" applyNumberFormat="1" applyFont="1" applyFill="1" applyBorder="1" applyAlignment="1">
      <alignment horizontal="center"/>
    </xf>
    <xf numFmtId="3" fontId="74" fillId="0" borderId="46" xfId="0" applyNumberFormat="1" applyFont="1" applyFill="1" applyBorder="1" applyAlignment="1">
      <alignment horizontal="left" vertical="center" wrapText="1"/>
    </xf>
    <xf numFmtId="3" fontId="74" fillId="0" borderId="10" xfId="0" applyNumberFormat="1" applyFont="1" applyFill="1" applyBorder="1" applyAlignment="1">
      <alignment horizontal="left" vertical="center" wrapText="1"/>
    </xf>
    <xf numFmtId="0" fontId="58" fillId="57" borderId="13" xfId="0" applyFont="1" applyFill="1" applyBorder="1" applyAlignment="1">
      <alignment horizontal="center" wrapText="1"/>
    </xf>
    <xf numFmtId="0" fontId="33" fillId="0" borderId="33" xfId="0" applyFont="1" applyBorder="1" applyAlignment="1">
      <alignment horizontal="center" wrapText="1"/>
    </xf>
    <xf numFmtId="0" fontId="33" fillId="0" borderId="35" xfId="0" applyFont="1" applyBorder="1" applyAlignment="1">
      <alignment horizontal="center" wrapText="1"/>
    </xf>
    <xf numFmtId="0" fontId="58" fillId="0" borderId="33" xfId="0" applyFont="1" applyBorder="1" applyAlignment="1">
      <alignment horizontal="center" wrapText="1"/>
    </xf>
    <xf numFmtId="0" fontId="58" fillId="0" borderId="35" xfId="0" applyFont="1" applyBorder="1" applyAlignment="1">
      <alignment horizontal="center" wrapText="1"/>
    </xf>
    <xf numFmtId="0" fontId="57" fillId="0" borderId="33" xfId="0" applyFont="1" applyFill="1" applyBorder="1" applyAlignment="1">
      <alignment horizontal="center" wrapText="1"/>
    </xf>
    <xf numFmtId="0" fontId="57" fillId="0" borderId="0" xfId="0" applyFont="1" applyFill="1" applyBorder="1" applyAlignment="1">
      <alignment horizontal="center" wrapText="1"/>
    </xf>
    <xf numFmtId="0" fontId="57" fillId="0" borderId="35" xfId="0" applyFont="1" applyFill="1" applyBorder="1" applyAlignment="1">
      <alignment horizontal="center" wrapText="1"/>
    </xf>
    <xf numFmtId="3" fontId="75" fillId="37" borderId="13" xfId="0" applyNumberFormat="1" applyFont="1" applyFill="1" applyBorder="1" applyAlignment="1">
      <alignment horizontal="center" vertical="center" textRotation="45" wrapText="1"/>
    </xf>
    <xf numFmtId="3" fontId="75" fillId="37" borderId="17" xfId="0" applyNumberFormat="1" applyFont="1" applyFill="1" applyBorder="1" applyAlignment="1">
      <alignment horizontal="center" vertical="center" textRotation="45" wrapText="1"/>
    </xf>
    <xf numFmtId="3" fontId="75" fillId="37" borderId="17" xfId="0" applyNumberFormat="1" applyFont="1" applyFill="1" applyBorder="1" applyAlignment="1">
      <alignment horizontal="center"/>
    </xf>
    <xf numFmtId="3" fontId="75" fillId="37" borderId="32" xfId="0" applyNumberFormat="1" applyFont="1" applyFill="1" applyBorder="1" applyAlignment="1">
      <alignment horizontal="center"/>
    </xf>
    <xf numFmtId="3" fontId="77" fillId="0" borderId="0" xfId="0" applyNumberFormat="1" applyFont="1" applyBorder="1" applyAlignment="1">
      <alignment horizontal="center"/>
    </xf>
    <xf numFmtId="3" fontId="74" fillId="0" borderId="26" xfId="0" applyNumberFormat="1" applyFont="1" applyBorder="1" applyAlignment="1">
      <alignment horizontal="center" vertical="center" textRotation="90" wrapText="1"/>
    </xf>
    <xf numFmtId="3" fontId="74" fillId="0" borderId="29" xfId="0" applyNumberFormat="1" applyFont="1" applyBorder="1" applyAlignment="1">
      <alignment horizontal="center" vertical="center" textRotation="90" wrapText="1"/>
    </xf>
    <xf numFmtId="3" fontId="74" fillId="37" borderId="13" xfId="0" applyNumberFormat="1" applyFont="1" applyFill="1" applyBorder="1" applyAlignment="1">
      <alignment horizontal="center" vertical="center" wrapText="1"/>
    </xf>
    <xf numFmtId="3" fontId="74" fillId="37" borderId="17" xfId="0" applyNumberFormat="1" applyFont="1" applyFill="1" applyBorder="1" applyAlignment="1">
      <alignment horizontal="center" vertical="center" wrapText="1"/>
    </xf>
    <xf numFmtId="3" fontId="76" fillId="0" borderId="17" xfId="0" applyNumberFormat="1" applyFont="1" applyBorder="1" applyAlignment="1">
      <alignment horizontal="center" vertical="center" wrapText="1"/>
    </xf>
    <xf numFmtId="0" fontId="82" fillId="0" borderId="25" xfId="0" applyFont="1" applyBorder="1" applyAlignment="1">
      <alignment horizontal="left" vertical="center" wrapText="1"/>
    </xf>
    <xf numFmtId="0" fontId="19" fillId="0" borderId="13" xfId="0" applyFont="1" applyBorder="1" applyAlignment="1">
      <alignment horizontal="left"/>
    </xf>
    <xf numFmtId="3" fontId="77" fillId="0" borderId="13" xfId="0" applyNumberFormat="1" applyFont="1" applyFill="1" applyBorder="1" applyAlignment="1">
      <alignment horizontal="left" vertical="top" wrapText="1"/>
    </xf>
    <xf numFmtId="3" fontId="84" fillId="0" borderId="28" xfId="0" applyNumberFormat="1" applyFont="1" applyFill="1" applyBorder="1" applyAlignment="1">
      <alignment horizontal="left" vertical="top" wrapText="1"/>
    </xf>
    <xf numFmtId="0" fontId="159" fillId="0" borderId="14" xfId="0" applyFont="1" applyBorder="1" applyAlignment="1">
      <alignment horizontal="left" vertical="center" wrapText="1"/>
    </xf>
    <xf numFmtId="0" fontId="159" fillId="0" borderId="10" xfId="0" applyFont="1" applyBorder="1" applyAlignment="1">
      <alignment horizontal="left" vertical="center" wrapText="1"/>
    </xf>
    <xf numFmtId="0" fontId="159" fillId="0" borderId="18" xfId="0" applyFont="1" applyBorder="1" applyAlignment="1">
      <alignment horizontal="left" vertical="center" wrapText="1"/>
    </xf>
    <xf numFmtId="3" fontId="84" fillId="0" borderId="17" xfId="0" applyNumberFormat="1" applyFont="1" applyFill="1" applyBorder="1" applyAlignment="1">
      <alignment horizontal="left" vertical="top" wrapText="1"/>
    </xf>
    <xf numFmtId="0" fontId="82" fillId="0" borderId="16" xfId="0" applyFont="1" applyBorder="1" applyAlignment="1">
      <alignment horizontal="left" vertical="center" wrapText="1"/>
    </xf>
    <xf numFmtId="0" fontId="19" fillId="0" borderId="13" xfId="0" applyFont="1" applyBorder="1" applyAlignment="1">
      <alignment horizontal="left" vertical="center" wrapText="1"/>
    </xf>
    <xf numFmtId="3" fontId="84" fillId="0" borderId="0" xfId="0" applyNumberFormat="1" applyFont="1" applyFill="1" applyBorder="1" applyAlignment="1">
      <alignment horizontal="left" vertical="top" wrapText="1"/>
    </xf>
    <xf numFmtId="0" fontId="82"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3" fontId="77" fillId="0" borderId="0" xfId="0" applyNumberFormat="1" applyFont="1" applyFill="1" applyBorder="1" applyAlignment="1">
      <alignment horizontal="left" vertical="top" wrapText="1"/>
    </xf>
    <xf numFmtId="0" fontId="154" fillId="0" borderId="25" xfId="0" applyFont="1" applyBorder="1" applyAlignment="1">
      <alignment horizontal="left" vertical="center" wrapText="1"/>
    </xf>
    <xf numFmtId="0" fontId="159" fillId="0" borderId="25" xfId="0" applyFont="1" applyBorder="1" applyAlignment="1">
      <alignment horizontal="left" vertical="center" wrapText="1"/>
    </xf>
    <xf numFmtId="0" fontId="159" fillId="0" borderId="16" xfId="0" applyFont="1" applyBorder="1" applyAlignment="1">
      <alignment horizontal="left" vertical="center" wrapText="1"/>
    </xf>
    <xf numFmtId="3" fontId="84" fillId="0" borderId="0" xfId="0" applyNumberFormat="1" applyFont="1" applyFill="1" applyBorder="1" applyAlignment="1">
      <alignment horizontal="left" vertical="top"/>
    </xf>
    <xf numFmtId="3" fontId="84" fillId="0" borderId="14" xfId="0" applyNumberFormat="1" applyFont="1" applyFill="1" applyBorder="1" applyAlignment="1">
      <alignment horizontal="left" vertical="top" wrapText="1"/>
    </xf>
    <xf numFmtId="3" fontId="84" fillId="0" borderId="18" xfId="0" applyNumberFormat="1" applyFont="1" applyFill="1" applyBorder="1" applyAlignment="1">
      <alignment horizontal="left" vertical="top" wrapText="1"/>
    </xf>
    <xf numFmtId="0" fontId="160" fillId="0" borderId="13" xfId="0" applyFont="1" applyBorder="1" applyAlignment="1">
      <alignment horizontal="left" vertical="center" wrapText="1"/>
    </xf>
    <xf numFmtId="0" fontId="160" fillId="0" borderId="13" xfId="0" applyFont="1" applyFill="1" applyBorder="1" applyAlignment="1">
      <alignment horizontal="left" vertical="center" wrapText="1"/>
    </xf>
    <xf numFmtId="0" fontId="159" fillId="0" borderId="25" xfId="0" applyFont="1" applyFill="1" applyBorder="1" applyAlignment="1">
      <alignment horizontal="left" vertical="center" wrapText="1"/>
    </xf>
    <xf numFmtId="3" fontId="77" fillId="41" borderId="13" xfId="0" applyNumberFormat="1" applyFont="1" applyFill="1" applyBorder="1" applyAlignment="1">
      <alignment horizontal="left" vertical="top" wrapText="1"/>
    </xf>
    <xf numFmtId="3" fontId="84" fillId="41" borderId="28" xfId="0" applyNumberFormat="1" applyFont="1" applyFill="1" applyBorder="1" applyAlignment="1">
      <alignment horizontal="left" vertical="top" wrapText="1"/>
    </xf>
    <xf numFmtId="3" fontId="18" fillId="0" borderId="41" xfId="0" applyNumberFormat="1" applyFont="1" applyBorder="1" applyAlignment="1">
      <alignment horizontal="left"/>
    </xf>
    <xf numFmtId="3" fontId="18" fillId="0" borderId="42" xfId="0" applyNumberFormat="1" applyFont="1" applyBorder="1" applyAlignment="1">
      <alignment horizontal="left"/>
    </xf>
    <xf numFmtId="3" fontId="18" fillId="0" borderId="48" xfId="0" applyNumberFormat="1" applyFont="1" applyBorder="1" applyAlignment="1">
      <alignment horizontal="left"/>
    </xf>
    <xf numFmtId="0" fontId="19" fillId="41" borderId="25" xfId="0" applyFont="1" applyFill="1" applyBorder="1" applyAlignment="1">
      <alignment horizontal="left" vertical="center" wrapText="1"/>
    </xf>
    <xf numFmtId="0" fontId="19" fillId="0" borderId="13" xfId="0" applyFont="1" applyFill="1" applyBorder="1" applyAlignment="1">
      <alignment horizontal="left" vertical="center" wrapText="1"/>
    </xf>
    <xf numFmtId="3" fontId="84" fillId="0" borderId="28" xfId="0" applyNumberFormat="1" applyFont="1" applyBorder="1" applyAlignment="1">
      <alignment horizontal="left" vertical="top"/>
    </xf>
    <xf numFmtId="3" fontId="77" fillId="0" borderId="14" xfId="0" applyNumberFormat="1" applyFont="1" applyFill="1" applyBorder="1" applyAlignment="1">
      <alignment horizontal="left" vertical="top" wrapText="1"/>
    </xf>
    <xf numFmtId="3" fontId="77" fillId="0" borderId="18" xfId="0" applyNumberFormat="1" applyFont="1" applyFill="1" applyBorder="1" applyAlignment="1">
      <alignment horizontal="left" vertical="top" wrapText="1"/>
    </xf>
    <xf numFmtId="0" fontId="82" fillId="0" borderId="49" xfId="0" applyFont="1" applyBorder="1" applyAlignment="1">
      <alignment horizontal="left" vertical="center" wrapText="1"/>
    </xf>
    <xf numFmtId="0" fontId="82" fillId="0" borderId="50" xfId="0" applyFont="1" applyBorder="1" applyAlignment="1">
      <alignment horizontal="left" vertical="center" wrapText="1"/>
    </xf>
    <xf numFmtId="0" fontId="82" fillId="0" borderId="51" xfId="0" applyFont="1" applyBorder="1" applyAlignment="1">
      <alignment horizontal="left" vertical="center" wrapText="1"/>
    </xf>
    <xf numFmtId="0" fontId="160" fillId="0" borderId="14" xfId="0" applyFont="1" applyFill="1" applyBorder="1" applyAlignment="1">
      <alignment horizontal="left" vertical="center" wrapText="1"/>
    </xf>
    <xf numFmtId="0" fontId="160" fillId="0" borderId="10" xfId="0" applyFont="1" applyFill="1" applyBorder="1" applyAlignment="1">
      <alignment horizontal="left" vertical="center" wrapText="1"/>
    </xf>
    <xf numFmtId="0" fontId="160" fillId="0" borderId="18" xfId="0" applyFont="1" applyFill="1" applyBorder="1" applyAlignment="1">
      <alignment horizontal="left" vertical="center" wrapText="1"/>
    </xf>
    <xf numFmtId="0" fontId="159" fillId="0" borderId="13" xfId="0" applyFont="1" applyBorder="1" applyAlignment="1">
      <alignment horizontal="left" vertical="center" wrapText="1"/>
    </xf>
    <xf numFmtId="0" fontId="4" fillId="33" borderId="10" xfId="0" applyFont="1" applyFill="1" applyBorder="1" applyAlignment="1">
      <alignment horizontal="center" vertical="center"/>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3.bcb.gov.br/expectativas/publico/?wicket:interface=:0:17:::"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L25"/>
  <sheetViews>
    <sheetView zoomScalePageLayoutView="0" workbookViewId="0" topLeftCell="A28">
      <selection activeCell="I25" sqref="I25"/>
    </sheetView>
  </sheetViews>
  <sheetFormatPr defaultColWidth="8.8515625" defaultRowHeight="12.75"/>
  <cols>
    <col min="1" max="1" width="0.42578125" style="58" customWidth="1"/>
    <col min="2" max="2" width="2.8515625" style="238" customWidth="1"/>
    <col min="3" max="3" width="8.28125" style="238" customWidth="1"/>
    <col min="4" max="4" width="52.28125" style="58" customWidth="1"/>
    <col min="5" max="7" width="8.57421875" style="58" customWidth="1"/>
    <col min="8" max="8" width="3.421875" style="58" customWidth="1"/>
    <col min="9" max="9" width="12.00390625" style="58" customWidth="1"/>
    <col min="10" max="16384" width="8.8515625" style="58" customWidth="1"/>
  </cols>
  <sheetData>
    <row r="1" ht="3.75" customHeight="1"/>
    <row r="2" spans="2:12" ht="16.5" customHeight="1">
      <c r="B2" s="871" t="s">
        <v>581</v>
      </c>
      <c r="C2" s="871"/>
      <c r="D2" s="890" t="s">
        <v>210</v>
      </c>
      <c r="E2" s="891"/>
      <c r="F2" s="891"/>
      <c r="G2" s="322" t="s">
        <v>64</v>
      </c>
      <c r="I2" s="721"/>
      <c r="J2" s="720"/>
      <c r="K2" s="720"/>
      <c r="L2" s="720"/>
    </row>
    <row r="3" spans="2:12" ht="13.5" customHeight="1">
      <c r="B3" s="881" t="s">
        <v>414</v>
      </c>
      <c r="C3" s="882"/>
      <c r="D3" s="882"/>
      <c r="E3" s="882"/>
      <c r="F3" s="882"/>
      <c r="G3" s="883"/>
      <c r="I3" s="721"/>
      <c r="J3" s="721"/>
      <c r="K3" s="721"/>
      <c r="L3" s="721"/>
    </row>
    <row r="4" spans="2:12" ht="13.5" customHeight="1">
      <c r="B4" s="884" t="s">
        <v>451</v>
      </c>
      <c r="C4" s="885"/>
      <c r="D4" s="885"/>
      <c r="E4" s="885"/>
      <c r="F4" s="885"/>
      <c r="G4" s="886"/>
      <c r="I4" s="720"/>
      <c r="J4" s="722"/>
      <c r="K4" s="722"/>
      <c r="L4" s="722"/>
    </row>
    <row r="5" spans="2:12" ht="13.5" customHeight="1">
      <c r="B5" s="887" t="s">
        <v>584</v>
      </c>
      <c r="C5" s="888"/>
      <c r="D5" s="888"/>
      <c r="E5" s="888"/>
      <c r="F5" s="888"/>
      <c r="G5" s="889"/>
      <c r="I5" s="720"/>
      <c r="J5" s="720"/>
      <c r="K5" s="720"/>
      <c r="L5" s="720"/>
    </row>
    <row r="6" spans="2:12" ht="13.5" customHeight="1">
      <c r="B6" s="875" t="s">
        <v>1081</v>
      </c>
      <c r="C6" s="876"/>
      <c r="D6" s="876"/>
      <c r="E6" s="876"/>
      <c r="F6" s="876"/>
      <c r="G6" s="877"/>
      <c r="I6" s="720"/>
      <c r="J6" s="720"/>
      <c r="K6" s="720"/>
      <c r="L6" s="720"/>
    </row>
    <row r="7" spans="2:12" ht="27.75" customHeight="1">
      <c r="B7" s="872" t="s">
        <v>51</v>
      </c>
      <c r="C7" s="873"/>
      <c r="D7" s="873"/>
      <c r="E7" s="873"/>
      <c r="F7" s="873"/>
      <c r="G7" s="874"/>
      <c r="I7" s="720"/>
      <c r="J7" s="720"/>
      <c r="K7" s="720"/>
      <c r="L7" s="720"/>
    </row>
    <row r="8" spans="2:7" ht="13.5" customHeight="1">
      <c r="B8" s="317" t="s">
        <v>1104</v>
      </c>
      <c r="C8" s="318"/>
      <c r="D8" s="318"/>
      <c r="E8" s="318"/>
      <c r="F8" s="318"/>
      <c r="G8" s="319"/>
    </row>
    <row r="9" spans="2:7" ht="15">
      <c r="B9" s="878" t="s">
        <v>454</v>
      </c>
      <c r="C9" s="879"/>
      <c r="D9" s="880"/>
      <c r="E9" s="468" t="s">
        <v>539</v>
      </c>
      <c r="F9" s="468" t="s">
        <v>162</v>
      </c>
      <c r="G9" s="468" t="s">
        <v>163</v>
      </c>
    </row>
    <row r="10" spans="2:12" ht="36.75" customHeight="1">
      <c r="B10" s="465" t="s">
        <v>564</v>
      </c>
      <c r="C10" s="466" t="s">
        <v>567</v>
      </c>
      <c r="D10" s="467" t="s">
        <v>378</v>
      </c>
      <c r="E10" s="464">
        <v>2016</v>
      </c>
      <c r="F10" s="464">
        <f>E10+1</f>
        <v>2017</v>
      </c>
      <c r="G10" s="464">
        <f>F10+1</f>
        <v>2018</v>
      </c>
      <c r="I10" s="721"/>
      <c r="J10" s="720"/>
      <c r="K10" s="720"/>
      <c r="L10" s="720"/>
    </row>
    <row r="11" spans="2:12" ht="35.25" customHeight="1">
      <c r="B11" s="778">
        <v>1</v>
      </c>
      <c r="C11" s="778" t="s">
        <v>568</v>
      </c>
      <c r="D11" s="783" t="s">
        <v>1143</v>
      </c>
      <c r="E11" s="782">
        <v>0.0562</v>
      </c>
      <c r="F11" s="782">
        <v>0.0513</v>
      </c>
      <c r="G11" s="782">
        <v>0.0489</v>
      </c>
      <c r="I11" s="721"/>
      <c r="J11" s="721"/>
      <c r="K11" s="721"/>
      <c r="L11" s="721"/>
    </row>
    <row r="12" spans="2:12" ht="24" customHeight="1">
      <c r="B12" s="778">
        <v>2</v>
      </c>
      <c r="C12" s="778" t="s">
        <v>568</v>
      </c>
      <c r="D12" s="779" t="s">
        <v>1142</v>
      </c>
      <c r="E12" s="780">
        <v>0.056</v>
      </c>
      <c r="F12" s="780">
        <v>0.045</v>
      </c>
      <c r="G12" s="780">
        <v>0.045</v>
      </c>
      <c r="I12" s="720"/>
      <c r="J12" s="722"/>
      <c r="K12" s="722"/>
      <c r="L12" s="722"/>
    </row>
    <row r="13" spans="2:7" ht="14.25" customHeight="1">
      <c r="B13" s="236">
        <v>3</v>
      </c>
      <c r="C13" s="236" t="s">
        <v>379</v>
      </c>
      <c r="D13" s="239" t="s">
        <v>1047</v>
      </c>
      <c r="E13" s="723">
        <v>0.0035</v>
      </c>
      <c r="F13" s="723">
        <v>0.0035</v>
      </c>
      <c r="G13" s="723">
        <v>0.0035</v>
      </c>
    </row>
    <row r="14" spans="2:12" s="241" customFormat="1" ht="26.25" customHeight="1">
      <c r="B14" s="236">
        <v>4</v>
      </c>
      <c r="C14" s="236" t="s">
        <v>568</v>
      </c>
      <c r="D14" s="237" t="s">
        <v>1128</v>
      </c>
      <c r="E14" s="723">
        <v>0.1</v>
      </c>
      <c r="F14" s="723">
        <v>0</v>
      </c>
      <c r="G14" s="723">
        <v>0</v>
      </c>
      <c r="I14" s="721"/>
      <c r="J14" s="720"/>
      <c r="K14" s="720"/>
      <c r="L14" s="720"/>
    </row>
    <row r="15" spans="2:12" ht="14.25" customHeight="1">
      <c r="B15" s="236">
        <v>5</v>
      </c>
      <c r="C15" s="236" t="s">
        <v>568</v>
      </c>
      <c r="D15" s="240" t="s">
        <v>563</v>
      </c>
      <c r="E15" s="723">
        <v>0.01</v>
      </c>
      <c r="F15" s="723">
        <v>0</v>
      </c>
      <c r="G15" s="723">
        <v>0</v>
      </c>
      <c r="I15" s="721"/>
      <c r="J15" s="721"/>
      <c r="K15" s="721"/>
      <c r="L15" s="721"/>
    </row>
    <row r="16" spans="2:12" s="242" customFormat="1" ht="14.25" customHeight="1">
      <c r="B16" s="778">
        <v>6</v>
      </c>
      <c r="C16" s="778" t="s">
        <v>379</v>
      </c>
      <c r="D16" s="781" t="s">
        <v>227</v>
      </c>
      <c r="E16" s="782">
        <v>0.013</v>
      </c>
      <c r="F16" s="782">
        <v>0.019</v>
      </c>
      <c r="G16" s="782">
        <v>0.024</v>
      </c>
      <c r="I16" s="720"/>
      <c r="J16" s="722"/>
      <c r="K16" s="722"/>
      <c r="L16" s="722"/>
    </row>
    <row r="17" spans="2:7" ht="14.25" customHeight="1">
      <c r="B17" s="236">
        <v>7</v>
      </c>
      <c r="C17" s="236" t="s">
        <v>379</v>
      </c>
      <c r="D17" s="240" t="s">
        <v>1099</v>
      </c>
      <c r="E17" s="716">
        <v>0.24</v>
      </c>
      <c r="F17" s="716">
        <v>0</v>
      </c>
      <c r="G17" s="716">
        <v>0</v>
      </c>
    </row>
    <row r="18" spans="2:7" ht="25.5" customHeight="1">
      <c r="B18" s="236">
        <v>8</v>
      </c>
      <c r="C18" s="236" t="s">
        <v>568</v>
      </c>
      <c r="D18" s="243" t="s">
        <v>1093</v>
      </c>
      <c r="E18" s="723">
        <f>E11</f>
        <v>0.0562</v>
      </c>
      <c r="F18" s="723">
        <f>F11</f>
        <v>0.0513</v>
      </c>
      <c r="G18" s="723">
        <f>G11</f>
        <v>0.0489</v>
      </c>
    </row>
    <row r="19" spans="2:9" ht="18.75" customHeight="1">
      <c r="B19" s="236">
        <v>9</v>
      </c>
      <c r="C19" s="236" t="s">
        <v>568</v>
      </c>
      <c r="D19" s="504" t="s">
        <v>1141</v>
      </c>
      <c r="E19" s="727">
        <v>0.06</v>
      </c>
      <c r="F19" s="727">
        <v>0.01</v>
      </c>
      <c r="G19" s="727">
        <v>0.01</v>
      </c>
      <c r="I19" s="726"/>
    </row>
    <row r="20" spans="2:7" s="241" customFormat="1" ht="15.75" customHeight="1">
      <c r="B20" s="236">
        <v>10</v>
      </c>
      <c r="C20" s="236" t="s">
        <v>379</v>
      </c>
      <c r="D20" s="240" t="s">
        <v>1098</v>
      </c>
      <c r="E20" s="716">
        <v>0.02</v>
      </c>
      <c r="F20" s="716">
        <v>0.01</v>
      </c>
      <c r="G20" s="716">
        <v>0.01</v>
      </c>
    </row>
    <row r="21" spans="2:7" ht="25.5" customHeight="1">
      <c r="B21" s="236">
        <v>11</v>
      </c>
      <c r="C21" s="236" t="s">
        <v>568</v>
      </c>
      <c r="D21" s="237" t="s">
        <v>443</v>
      </c>
      <c r="E21" s="727">
        <v>0</v>
      </c>
      <c r="F21" s="727">
        <v>0</v>
      </c>
      <c r="G21" s="727">
        <v>0</v>
      </c>
    </row>
    <row r="22" spans="2:7" ht="25.5" customHeight="1">
      <c r="B22" s="236">
        <v>12</v>
      </c>
      <c r="C22" s="236" t="s">
        <v>568</v>
      </c>
      <c r="D22" s="237" t="s">
        <v>1129</v>
      </c>
      <c r="E22" s="727">
        <v>0.115</v>
      </c>
      <c r="F22" s="727">
        <v>0.105</v>
      </c>
      <c r="G22" s="727">
        <v>0.1</v>
      </c>
    </row>
    <row r="23" spans="2:7" ht="40.5" customHeight="1">
      <c r="B23" s="869" t="s">
        <v>1180</v>
      </c>
      <c r="C23" s="869"/>
      <c r="D23" s="869"/>
      <c r="E23" s="869"/>
      <c r="F23" s="869"/>
      <c r="G23" s="870"/>
    </row>
    <row r="24" spans="2:7" ht="30.75" customHeight="1">
      <c r="B24" s="868" t="s">
        <v>1179</v>
      </c>
      <c r="C24" s="868"/>
      <c r="D24" s="868"/>
      <c r="E24" s="868"/>
      <c r="F24" s="868"/>
      <c r="G24" s="868"/>
    </row>
    <row r="25" spans="2:4" ht="23.25" customHeight="1">
      <c r="B25" s="726" t="s">
        <v>1041</v>
      </c>
      <c r="D25" s="499"/>
    </row>
  </sheetData>
  <sheetProtection selectLockedCells="1" selectUnlockedCells="1"/>
  <mergeCells count="10">
    <mergeCell ref="B24:G24"/>
    <mergeCell ref="B23:G23"/>
    <mergeCell ref="B2:C2"/>
    <mergeCell ref="B7:G7"/>
    <mergeCell ref="B6:G6"/>
    <mergeCell ref="B9:D9"/>
    <mergeCell ref="B3:G3"/>
    <mergeCell ref="B4:G4"/>
    <mergeCell ref="B5:G5"/>
    <mergeCell ref="D2:F2"/>
  </mergeCells>
  <hyperlinks>
    <hyperlink ref="B25" r:id="rId1" display="https://www3.bcb.gov.br/expectativas/publico/?wicket:interface=:0:17:::"/>
  </hyperlinks>
  <printOptions/>
  <pageMargins left="0.5905511811023623" right="0.5905511811023623" top="0.7874015748031497" bottom="0.7874015748031497" header="0.5118110236220472" footer="0.5118110236220472"/>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dimension ref="B1:L25"/>
  <sheetViews>
    <sheetView zoomScalePageLayoutView="0" workbookViewId="0" topLeftCell="A1">
      <selection activeCell="B32" sqref="B32"/>
    </sheetView>
  </sheetViews>
  <sheetFormatPr defaultColWidth="9.140625" defaultRowHeight="12.75"/>
  <cols>
    <col min="1" max="1" width="1.57421875" style="0" customWidth="1"/>
    <col min="2" max="2" width="25.7109375" style="0" customWidth="1"/>
    <col min="3" max="3" width="3.7109375" style="109" customWidth="1"/>
    <col min="4" max="4" width="10.8515625" style="109" customWidth="1"/>
    <col min="5" max="6" width="12.57421875" style="0" customWidth="1"/>
    <col min="7" max="7" width="7.28125" style="0" customWidth="1"/>
    <col min="8" max="10" width="12.57421875" style="0" customWidth="1"/>
    <col min="11" max="11" width="7.57421875" style="0" customWidth="1"/>
    <col min="12" max="12" width="2.8515625" style="109" customWidth="1"/>
  </cols>
  <sheetData>
    <row r="1" spans="2:11" ht="15.75" customHeight="1">
      <c r="B1" s="140" t="s">
        <v>574</v>
      </c>
      <c r="C1" s="1126" t="s">
        <v>210</v>
      </c>
      <c r="D1" s="1127"/>
      <c r="E1" s="1127"/>
      <c r="F1" s="1127"/>
      <c r="G1" s="1127"/>
      <c r="H1" s="1127"/>
      <c r="I1" s="1127"/>
      <c r="J1" s="1127"/>
      <c r="K1" s="1128"/>
    </row>
    <row r="2" spans="2:11" ht="12.75" customHeight="1">
      <c r="B2" s="881" t="s">
        <v>414</v>
      </c>
      <c r="C2" s="882"/>
      <c r="D2" s="882"/>
      <c r="E2" s="882"/>
      <c r="F2" s="882"/>
      <c r="G2" s="882"/>
      <c r="H2" s="882"/>
      <c r="I2" s="882"/>
      <c r="J2" s="882"/>
      <c r="K2" s="883"/>
    </row>
    <row r="3" spans="2:11" ht="14.25" customHeight="1">
      <c r="B3" s="884" t="s">
        <v>451</v>
      </c>
      <c r="C3" s="885"/>
      <c r="D3" s="885"/>
      <c r="E3" s="885"/>
      <c r="F3" s="885"/>
      <c r="G3" s="885"/>
      <c r="H3" s="885"/>
      <c r="I3" s="885"/>
      <c r="J3" s="885"/>
      <c r="K3" s="886"/>
    </row>
    <row r="4" spans="2:11" ht="14.25" customHeight="1">
      <c r="B4" s="942" t="s">
        <v>344</v>
      </c>
      <c r="C4" s="943"/>
      <c r="D4" s="943"/>
      <c r="E4" s="943"/>
      <c r="F4" s="943"/>
      <c r="G4" s="943"/>
      <c r="H4" s="943"/>
      <c r="I4" s="943"/>
      <c r="J4" s="943"/>
      <c r="K4" s="944"/>
    </row>
    <row r="5" spans="2:11" ht="14.25" customHeight="1">
      <c r="B5" s="884" t="s">
        <v>1083</v>
      </c>
      <c r="C5" s="885"/>
      <c r="D5" s="885"/>
      <c r="E5" s="885"/>
      <c r="F5" s="885"/>
      <c r="G5" s="885"/>
      <c r="H5" s="885"/>
      <c r="I5" s="885"/>
      <c r="J5" s="885"/>
      <c r="K5" s="886"/>
    </row>
    <row r="6" spans="2:11" ht="14.25" customHeight="1">
      <c r="B6" s="378" t="s">
        <v>343</v>
      </c>
      <c r="C6" s="379"/>
      <c r="D6" s="379"/>
      <c r="E6" s="379"/>
      <c r="F6" s="379"/>
      <c r="G6" s="379"/>
      <c r="H6" s="379"/>
      <c r="I6" s="379"/>
      <c r="J6" s="379"/>
      <c r="K6" s="380"/>
    </row>
    <row r="7" spans="2:11" s="109" customFormat="1" ht="12.75" customHeight="1">
      <c r="B7" s="948" t="str">
        <f>'TAB. P - PARÂMETROS'!B8</f>
        <v>ANEXO do Projeto de Lei n°. 051/2015 </v>
      </c>
      <c r="C7" s="949"/>
      <c r="D7" s="950"/>
      <c r="E7" s="226"/>
      <c r="F7" s="226"/>
      <c r="G7" s="226"/>
      <c r="H7" s="226"/>
      <c r="I7" s="226"/>
      <c r="J7" s="1141" t="s">
        <v>64</v>
      </c>
      <c r="K7" s="1142"/>
    </row>
    <row r="8" spans="2:11" ht="12.75" customHeight="1">
      <c r="B8" s="1115" t="s">
        <v>48</v>
      </c>
      <c r="C8" s="1116"/>
      <c r="D8" s="1116"/>
      <c r="E8" s="1116"/>
      <c r="F8" s="1116"/>
      <c r="G8" s="1116"/>
      <c r="H8" s="1116"/>
      <c r="I8" s="1116"/>
      <c r="J8" s="1116"/>
      <c r="K8" s="1117"/>
    </row>
    <row r="9" spans="2:12" s="152" customFormat="1" ht="13.5" customHeight="1">
      <c r="B9" s="1135" t="s">
        <v>293</v>
      </c>
      <c r="C9" s="1136"/>
      <c r="D9" s="1136"/>
      <c r="E9" s="1136"/>
      <c r="F9" s="1136"/>
      <c r="G9" s="1136"/>
      <c r="H9" s="1136"/>
      <c r="I9" s="1136"/>
      <c r="J9" s="1136"/>
      <c r="K9" s="1137"/>
      <c r="L9" s="174"/>
    </row>
    <row r="10" spans="2:12" s="152" customFormat="1" ht="12.75" customHeight="1">
      <c r="B10" s="1138" t="s">
        <v>550</v>
      </c>
      <c r="C10" s="1139"/>
      <c r="D10" s="1139"/>
      <c r="E10" s="1139"/>
      <c r="F10" s="1139"/>
      <c r="G10" s="1139"/>
      <c r="H10" s="1139"/>
      <c r="I10" s="1139"/>
      <c r="J10" s="1139"/>
      <c r="K10" s="1140"/>
      <c r="L10" s="174"/>
    </row>
    <row r="11" spans="2:12" s="152" customFormat="1" ht="54.75" customHeight="1">
      <c r="B11" s="178" t="s">
        <v>375</v>
      </c>
      <c r="C11" s="192" t="s">
        <v>586</v>
      </c>
      <c r="D11" s="189" t="s">
        <v>15</v>
      </c>
      <c r="E11" s="144">
        <v>2011</v>
      </c>
      <c r="F11" s="144">
        <v>2012</v>
      </c>
      <c r="G11" s="144" t="s">
        <v>549</v>
      </c>
      <c r="H11" s="144">
        <v>2013</v>
      </c>
      <c r="I11" s="144" t="s">
        <v>549</v>
      </c>
      <c r="J11" s="144">
        <v>2014</v>
      </c>
      <c r="K11" s="144" t="s">
        <v>549</v>
      </c>
      <c r="L11" s="174"/>
    </row>
    <row r="12" spans="2:11" s="186" customFormat="1" ht="11.25" customHeight="1">
      <c r="B12" s="381" t="s">
        <v>748</v>
      </c>
      <c r="C12" s="175" t="s">
        <v>539</v>
      </c>
      <c r="D12" s="177" t="s">
        <v>539</v>
      </c>
      <c r="E12" s="177">
        <v>10569022.56</v>
      </c>
      <c r="F12" s="177">
        <v>12255813.32</v>
      </c>
      <c r="G12" s="185">
        <f>F12/E12-1</f>
        <v>0.1595976118344098</v>
      </c>
      <c r="H12" s="177">
        <v>10872752.57</v>
      </c>
      <c r="I12" s="185">
        <f>H12/F12-1</f>
        <v>-0.11284936494120812</v>
      </c>
      <c r="J12" s="177">
        <v>13270965.64</v>
      </c>
      <c r="K12" s="185">
        <f>J12/H12-1</f>
        <v>0.2205709230077697</v>
      </c>
    </row>
    <row r="13" spans="2:11" s="186" customFormat="1" ht="11.25" customHeight="1">
      <c r="B13" s="381" t="s">
        <v>16</v>
      </c>
      <c r="C13" s="175" t="s">
        <v>162</v>
      </c>
      <c r="D13" s="177" t="s">
        <v>162</v>
      </c>
      <c r="E13" s="177">
        <v>1413846.6</v>
      </c>
      <c r="F13" s="177">
        <v>1693455.23</v>
      </c>
      <c r="G13" s="185">
        <f>F13/E13-1</f>
        <v>0.19776447459010038</v>
      </c>
      <c r="H13" s="177">
        <v>617824.92</v>
      </c>
      <c r="I13" s="185">
        <f>H13/F13-1</f>
        <v>-0.6351690265824151</v>
      </c>
      <c r="J13" s="177">
        <v>619895.86</v>
      </c>
      <c r="K13" s="185">
        <f>J13/H13-1</f>
        <v>0.003351985219372411</v>
      </c>
    </row>
    <row r="14" spans="2:11" s="184" customFormat="1" ht="11.25" customHeight="1">
      <c r="B14" s="382" t="s">
        <v>553</v>
      </c>
      <c r="C14" s="383" t="s">
        <v>163</v>
      </c>
      <c r="D14" s="159" t="s">
        <v>17</v>
      </c>
      <c r="E14" s="791">
        <f>E12-E13</f>
        <v>9155175.96</v>
      </c>
      <c r="F14" s="791">
        <f>F12-F13</f>
        <v>10562358.09</v>
      </c>
      <c r="G14" s="185">
        <f>F14/E14-1</f>
        <v>0.15370344995531893</v>
      </c>
      <c r="H14" s="791">
        <f>H12-H13</f>
        <v>10254927.65</v>
      </c>
      <c r="I14" s="185">
        <f>H14/F14-1</f>
        <v>-0.029106231523343462</v>
      </c>
      <c r="J14" s="791">
        <f>J12-J13</f>
        <v>12651069.780000001</v>
      </c>
      <c r="K14" s="185">
        <f>J14/H14-1</f>
        <v>0.23365763384981086</v>
      </c>
    </row>
    <row r="15" spans="2:12" s="150" customFormat="1" ht="11.25" customHeight="1">
      <c r="B15" s="71" t="s">
        <v>551</v>
      </c>
      <c r="C15" s="384" t="s">
        <v>164</v>
      </c>
      <c r="D15" s="385" t="s">
        <v>164</v>
      </c>
      <c r="E15" s="71">
        <v>0</v>
      </c>
      <c r="F15" s="71">
        <v>0</v>
      </c>
      <c r="G15" s="185">
        <v>0</v>
      </c>
      <c r="H15" s="70">
        <v>0</v>
      </c>
      <c r="I15" s="185">
        <v>0</v>
      </c>
      <c r="J15" s="70">
        <v>0</v>
      </c>
      <c r="K15" s="185">
        <v>0</v>
      </c>
      <c r="L15" s="155"/>
    </row>
    <row r="16" spans="2:12" s="150" customFormat="1" ht="11.25" customHeight="1">
      <c r="B16" s="71" t="s">
        <v>552</v>
      </c>
      <c r="C16" s="384" t="s">
        <v>165</v>
      </c>
      <c r="D16" s="385" t="s">
        <v>165</v>
      </c>
      <c r="E16" s="71">
        <v>0</v>
      </c>
      <c r="F16" s="71">
        <v>0</v>
      </c>
      <c r="G16" s="185">
        <v>0</v>
      </c>
      <c r="H16" s="70">
        <v>0</v>
      </c>
      <c r="I16" s="185">
        <v>0</v>
      </c>
      <c r="J16" s="70">
        <v>0</v>
      </c>
      <c r="K16" s="185">
        <v>0</v>
      </c>
      <c r="L16" s="155"/>
    </row>
    <row r="17" spans="2:12" s="150" customFormat="1" ht="19.5" customHeight="1">
      <c r="B17" s="179" t="s">
        <v>561</v>
      </c>
      <c r="C17" s="191" t="s">
        <v>166</v>
      </c>
      <c r="D17" s="190" t="s">
        <v>18</v>
      </c>
      <c r="E17" s="179">
        <f>SUM(E14:E16)</f>
        <v>9155175.96</v>
      </c>
      <c r="F17" s="179">
        <f>SUM(F14:F16)</f>
        <v>10562358.09</v>
      </c>
      <c r="G17" s="185">
        <f>F17/E17-1</f>
        <v>0.15370344995531893</v>
      </c>
      <c r="H17" s="179">
        <f>SUM(H14:H16)</f>
        <v>10254927.65</v>
      </c>
      <c r="I17" s="185">
        <f>H17/F17-1</f>
        <v>-0.029106231523343462</v>
      </c>
      <c r="J17" s="179">
        <f>SUM(J14:J16)</f>
        <v>12651069.780000001</v>
      </c>
      <c r="K17" s="185">
        <f>J17/H17-1</f>
        <v>0.23365763384981086</v>
      </c>
      <c r="L17" s="155"/>
    </row>
    <row r="18" spans="2:11" ht="12.75">
      <c r="B18" s="1129" t="s">
        <v>555</v>
      </c>
      <c r="C18" s="1130"/>
      <c r="D18" s="1130"/>
      <c r="E18" s="1130"/>
      <c r="F18" s="1130"/>
      <c r="G18" s="1130"/>
      <c r="H18" s="1130"/>
      <c r="I18" s="1130"/>
      <c r="J18" s="1130"/>
      <c r="K18" s="1131"/>
    </row>
    <row r="19" spans="2:11" ht="12.75">
      <c r="B19" s="178" t="s">
        <v>375</v>
      </c>
      <c r="C19" s="180"/>
      <c r="D19" s="180"/>
      <c r="E19" s="144">
        <f>E11</f>
        <v>2011</v>
      </c>
      <c r="F19" s="144">
        <f aca="true" t="shared" si="0" ref="F19:K19">F11</f>
        <v>2012</v>
      </c>
      <c r="G19" s="144" t="str">
        <f t="shared" si="0"/>
        <v>%</v>
      </c>
      <c r="H19" s="144">
        <f t="shared" si="0"/>
        <v>2013</v>
      </c>
      <c r="I19" s="144" t="str">
        <f t="shared" si="0"/>
        <v>%</v>
      </c>
      <c r="J19" s="144">
        <f t="shared" si="0"/>
        <v>2014</v>
      </c>
      <c r="K19" s="144" t="str">
        <f t="shared" si="0"/>
        <v>%</v>
      </c>
    </row>
    <row r="20" spans="2:11" ht="11.25" customHeight="1">
      <c r="B20" s="386" t="s">
        <v>556</v>
      </c>
      <c r="C20" s="383" t="s">
        <v>167</v>
      </c>
      <c r="D20" s="386"/>
      <c r="E20" s="387">
        <v>0</v>
      </c>
      <c r="F20" s="177">
        <v>0</v>
      </c>
      <c r="G20" s="177">
        <v>0</v>
      </c>
      <c r="H20" s="177">
        <v>0</v>
      </c>
      <c r="I20" s="177">
        <v>0</v>
      </c>
      <c r="J20" s="177">
        <v>0</v>
      </c>
      <c r="K20" s="159"/>
    </row>
    <row r="21" spans="2:11" ht="11.25" customHeight="1">
      <c r="B21" s="71" t="s">
        <v>551</v>
      </c>
      <c r="C21" s="384" t="s">
        <v>168</v>
      </c>
      <c r="D21" s="70"/>
      <c r="E21" s="71">
        <v>0</v>
      </c>
      <c r="F21" s="71">
        <v>0</v>
      </c>
      <c r="G21" s="177">
        <v>0</v>
      </c>
      <c r="H21" s="71">
        <v>0</v>
      </c>
      <c r="I21" s="177">
        <v>0</v>
      </c>
      <c r="J21" s="71">
        <v>0</v>
      </c>
      <c r="K21" s="70"/>
    </row>
    <row r="22" spans="2:11" ht="11.25" customHeight="1">
      <c r="B22" s="71" t="s">
        <v>557</v>
      </c>
      <c r="C22" s="384" t="s">
        <v>240</v>
      </c>
      <c r="D22" s="70"/>
      <c r="E22" s="71">
        <v>0</v>
      </c>
      <c r="F22" s="71">
        <v>0</v>
      </c>
      <c r="G22" s="177">
        <v>0</v>
      </c>
      <c r="H22" s="71">
        <v>0</v>
      </c>
      <c r="I22" s="177">
        <v>0</v>
      </c>
      <c r="J22" s="71">
        <v>0</v>
      </c>
      <c r="K22" s="70"/>
    </row>
    <row r="23" spans="2:11" ht="12.75">
      <c r="B23" s="179" t="s">
        <v>287</v>
      </c>
      <c r="C23" s="191" t="s">
        <v>616</v>
      </c>
      <c r="D23" s="181"/>
      <c r="E23" s="145">
        <f>SUM(E20:E22)</f>
        <v>0</v>
      </c>
      <c r="F23" s="145">
        <f>SUM(F20:F22)</f>
        <v>0</v>
      </c>
      <c r="G23" s="145">
        <v>0</v>
      </c>
      <c r="H23" s="145">
        <f>SUM(H20:H22)</f>
        <v>0</v>
      </c>
      <c r="I23" s="145">
        <v>0</v>
      </c>
      <c r="J23" s="145">
        <f>SUM(J20:J22)</f>
        <v>0</v>
      </c>
      <c r="K23" s="145">
        <f>SUM(K20:K22)</f>
        <v>0</v>
      </c>
    </row>
    <row r="24" spans="2:11" ht="53.25" customHeight="1">
      <c r="B24" s="1132" t="s">
        <v>1151</v>
      </c>
      <c r="C24" s="1133"/>
      <c r="D24" s="1133"/>
      <c r="E24" s="1133"/>
      <c r="F24" s="1133"/>
      <c r="G24" s="1133"/>
      <c r="H24" s="1133"/>
      <c r="I24" s="1133"/>
      <c r="J24" s="1133"/>
      <c r="K24" s="1134"/>
    </row>
    <row r="25" s="109" customFormat="1" ht="12.75">
      <c r="J25" s="497"/>
    </row>
  </sheetData>
  <sheetProtection selectLockedCells="1" selectUnlockedCells="1"/>
  <mergeCells count="12">
    <mergeCell ref="B5:K5"/>
    <mergeCell ref="J7:K7"/>
    <mergeCell ref="C1:K1"/>
    <mergeCell ref="B18:K18"/>
    <mergeCell ref="B24:K24"/>
    <mergeCell ref="B2:K2"/>
    <mergeCell ref="B8:K8"/>
    <mergeCell ref="B9:K9"/>
    <mergeCell ref="B10:K10"/>
    <mergeCell ref="B3:K3"/>
    <mergeCell ref="B4:K4"/>
    <mergeCell ref="B7:D7"/>
  </mergeCells>
  <printOptions/>
  <pageMargins left="0.787401575" right="0.787401575" top="0.984251969" bottom="0.984251969" header="0.492125985" footer="0.49212598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K29"/>
  <sheetViews>
    <sheetView workbookViewId="0" topLeftCell="A7">
      <selection activeCell="H13" sqref="H13"/>
    </sheetView>
  </sheetViews>
  <sheetFormatPr defaultColWidth="9.140625" defaultRowHeight="12.75"/>
  <cols>
    <col min="1" max="1" width="1.28515625" style="160" customWidth="1"/>
    <col min="2" max="2" width="22.28125" style="0" customWidth="1"/>
    <col min="3" max="3" width="8.8515625" style="0" customWidth="1"/>
    <col min="4" max="10" width="13.8515625" style="0" customWidth="1"/>
    <col min="11" max="11" width="3.00390625" style="109" customWidth="1"/>
  </cols>
  <sheetData>
    <row r="1" spans="1:10" ht="15.75" customHeight="1">
      <c r="A1" s="132"/>
      <c r="B1" s="388" t="s">
        <v>577</v>
      </c>
      <c r="C1" s="826"/>
      <c r="D1" s="1151" t="s">
        <v>210</v>
      </c>
      <c r="E1" s="1152"/>
      <c r="F1" s="1152"/>
      <c r="G1" s="1152"/>
      <c r="H1" s="1152"/>
      <c r="I1" s="1152"/>
      <c r="J1" s="1153"/>
    </row>
    <row r="2" spans="2:10" ht="12.75">
      <c r="B2" s="1163" t="s">
        <v>414</v>
      </c>
      <c r="C2" s="1164"/>
      <c r="D2" s="1164"/>
      <c r="E2" s="1164"/>
      <c r="F2" s="1164"/>
      <c r="G2" s="1164"/>
      <c r="H2" s="1164"/>
      <c r="I2" s="1164"/>
      <c r="J2" s="1165"/>
    </row>
    <row r="3" spans="2:10" ht="14.25">
      <c r="B3" s="884" t="s">
        <v>451</v>
      </c>
      <c r="C3" s="885"/>
      <c r="D3" s="885"/>
      <c r="E3" s="885"/>
      <c r="F3" s="885"/>
      <c r="G3" s="885"/>
      <c r="H3" s="885"/>
      <c r="I3" s="885"/>
      <c r="J3" s="886"/>
    </row>
    <row r="4" spans="2:10" ht="14.25">
      <c r="B4" s="942" t="s">
        <v>345</v>
      </c>
      <c r="C4" s="943"/>
      <c r="D4" s="943"/>
      <c r="E4" s="943"/>
      <c r="F4" s="943"/>
      <c r="G4" s="943"/>
      <c r="H4" s="943"/>
      <c r="I4" s="943"/>
      <c r="J4" s="944"/>
    </row>
    <row r="5" spans="2:10" ht="14.25">
      <c r="B5" s="945">
        <v>2016</v>
      </c>
      <c r="C5" s="946"/>
      <c r="D5" s="946"/>
      <c r="E5" s="946"/>
      <c r="F5" s="946"/>
      <c r="G5" s="946"/>
      <c r="H5" s="946"/>
      <c r="I5" s="946"/>
      <c r="J5" s="947"/>
    </row>
    <row r="6" spans="2:10" ht="12.75">
      <c r="B6" s="1154" t="s">
        <v>540</v>
      </c>
      <c r="C6" s="1155"/>
      <c r="D6" s="1155"/>
      <c r="E6" s="1155"/>
      <c r="F6" s="1155"/>
      <c r="G6" s="1155"/>
      <c r="H6" s="1155"/>
      <c r="I6" s="1155"/>
      <c r="J6" s="1156"/>
    </row>
    <row r="7" spans="2:10" ht="12.75" customHeight="1">
      <c r="B7" s="1100" t="str">
        <f>'TAB. P - PARÂMETROS'!B8</f>
        <v>ANEXO do Projeto de Lei n°. 051/2015 </v>
      </c>
      <c r="C7" s="1143"/>
      <c r="D7" s="1101"/>
      <c r="E7" s="389"/>
      <c r="F7" s="231"/>
      <c r="G7" s="231"/>
      <c r="H7" s="231"/>
      <c r="I7" s="231"/>
      <c r="J7" s="390" t="s">
        <v>64</v>
      </c>
    </row>
    <row r="8" spans="2:10" ht="12.75" customHeight="1">
      <c r="B8" s="1121" t="s">
        <v>297</v>
      </c>
      <c r="C8" s="1122"/>
      <c r="D8" s="1122"/>
      <c r="E8" s="1122"/>
      <c r="F8" s="1122"/>
      <c r="G8" s="1122"/>
      <c r="H8" s="1122"/>
      <c r="I8" s="1122"/>
      <c r="J8" s="1123"/>
    </row>
    <row r="9" spans="1:11" s="149" customFormat="1" ht="18" customHeight="1">
      <c r="A9" s="161"/>
      <c r="B9" s="1144" t="s">
        <v>575</v>
      </c>
      <c r="C9" s="1145"/>
      <c r="D9" s="1145"/>
      <c r="E9" s="1145"/>
      <c r="F9" s="1145"/>
      <c r="G9" s="1145"/>
      <c r="H9" s="1145"/>
      <c r="I9" s="1145"/>
      <c r="J9" s="1146"/>
      <c r="K9" s="235"/>
    </row>
    <row r="10" spans="1:11" s="152" customFormat="1" ht="18.75" customHeight="1">
      <c r="A10" s="162"/>
      <c r="B10" s="153" t="s">
        <v>351</v>
      </c>
      <c r="C10" s="144">
        <v>2011</v>
      </c>
      <c r="D10" s="144">
        <v>2012</v>
      </c>
      <c r="E10" s="765">
        <v>2013</v>
      </c>
      <c r="F10" s="765">
        <v>2014</v>
      </c>
      <c r="G10" s="765" t="s">
        <v>1089</v>
      </c>
      <c r="H10" s="144">
        <v>2016</v>
      </c>
      <c r="I10" s="144">
        <v>2017</v>
      </c>
      <c r="J10" s="144">
        <v>2018</v>
      </c>
      <c r="K10" s="174"/>
    </row>
    <row r="11" spans="1:11" s="152" customFormat="1" ht="22.5" customHeight="1">
      <c r="A11" s="162"/>
      <c r="B11" s="168" t="s">
        <v>352</v>
      </c>
      <c r="C11" s="829" t="s">
        <v>1148</v>
      </c>
      <c r="D11" s="169">
        <f aca="true" t="shared" si="0" ref="D11:J11">SUM(D12+D13)</f>
        <v>56695</v>
      </c>
      <c r="E11" s="169">
        <f t="shared" si="0"/>
        <v>0</v>
      </c>
      <c r="F11" s="169">
        <f t="shared" si="0"/>
        <v>0</v>
      </c>
      <c r="G11" s="169">
        <f t="shared" si="0"/>
        <v>0</v>
      </c>
      <c r="H11" s="169">
        <f t="shared" si="0"/>
        <v>25000</v>
      </c>
      <c r="I11" s="169">
        <f t="shared" si="0"/>
        <v>0</v>
      </c>
      <c r="J11" s="169">
        <f t="shared" si="0"/>
        <v>0</v>
      </c>
      <c r="K11" s="174"/>
    </row>
    <row r="12" spans="1:10" s="155" customFormat="1" ht="17.25" customHeight="1">
      <c r="A12" s="163"/>
      <c r="B12" s="72" t="s">
        <v>1145</v>
      </c>
      <c r="C12" s="827">
        <v>0</v>
      </c>
      <c r="D12" s="70">
        <v>56695</v>
      </c>
      <c r="E12" s="70">
        <v>0</v>
      </c>
      <c r="F12" s="70">
        <v>0</v>
      </c>
      <c r="G12" s="70">
        <v>0</v>
      </c>
      <c r="H12" s="70">
        <f>'VLR 2012 a 2018 ATUALIZ média'!O99</f>
        <v>25000</v>
      </c>
      <c r="I12" s="70">
        <f>'VLR 2012 a 2018 ATUALIZ média'!P103</f>
        <v>0</v>
      </c>
      <c r="J12" s="70">
        <f>'VLR 2012 a 2018 ATUALIZ média'!Q103</f>
        <v>0</v>
      </c>
    </row>
    <row r="13" spans="1:10" s="155" customFormat="1" ht="15" customHeight="1">
      <c r="A13" s="163"/>
      <c r="B13" s="72" t="s">
        <v>353</v>
      </c>
      <c r="C13" s="827">
        <v>0</v>
      </c>
      <c r="D13" s="70">
        <v>0</v>
      </c>
      <c r="E13" s="70">
        <v>0</v>
      </c>
      <c r="F13" s="164">
        <v>0</v>
      </c>
      <c r="G13" s="164">
        <v>0</v>
      </c>
      <c r="H13" s="72">
        <v>0</v>
      </c>
      <c r="I13" s="72">
        <v>0</v>
      </c>
      <c r="J13" s="72">
        <v>0</v>
      </c>
    </row>
    <row r="14" spans="1:10" s="155" customFormat="1" ht="15.75" customHeight="1">
      <c r="A14" s="163"/>
      <c r="B14" s="1147" t="s">
        <v>576</v>
      </c>
      <c r="C14" s="1148"/>
      <c r="D14" s="1148"/>
      <c r="E14" s="1148"/>
      <c r="F14" s="1148"/>
      <c r="G14" s="1148"/>
      <c r="H14" s="1148"/>
      <c r="I14" s="1148"/>
      <c r="J14" s="1149"/>
    </row>
    <row r="15" spans="1:10" s="155" customFormat="1" ht="23.25" customHeight="1">
      <c r="A15" s="163"/>
      <c r="B15" s="146" t="s">
        <v>354</v>
      </c>
      <c r="C15" s="829" t="s">
        <v>1149</v>
      </c>
      <c r="D15" s="144">
        <f aca="true" t="shared" si="1" ref="D15:J15">D10</f>
        <v>2012</v>
      </c>
      <c r="E15" s="144">
        <f t="shared" si="1"/>
        <v>2013</v>
      </c>
      <c r="F15" s="144">
        <f t="shared" si="1"/>
        <v>2014</v>
      </c>
      <c r="G15" s="144" t="str">
        <f t="shared" si="1"/>
        <v>Junho de 2015</v>
      </c>
      <c r="H15" s="144">
        <f t="shared" si="1"/>
        <v>2016</v>
      </c>
      <c r="I15" s="144">
        <f t="shared" si="1"/>
        <v>2017</v>
      </c>
      <c r="J15" s="144">
        <f t="shared" si="1"/>
        <v>2018</v>
      </c>
    </row>
    <row r="16" spans="1:10" s="235" customFormat="1" ht="23.25" customHeight="1">
      <c r="A16" s="233"/>
      <c r="B16" s="234" t="s">
        <v>148</v>
      </c>
      <c r="C16" s="830" t="s">
        <v>1150</v>
      </c>
      <c r="D16" s="182">
        <f aca="true" t="shared" si="2" ref="D16:J16">SUM(D17:D20)</f>
        <v>27810</v>
      </c>
      <c r="E16" s="182">
        <f t="shared" si="2"/>
        <v>74370</v>
      </c>
      <c r="F16" s="182">
        <f t="shared" si="2"/>
        <v>0</v>
      </c>
      <c r="G16" s="182">
        <f t="shared" si="2"/>
        <v>0</v>
      </c>
      <c r="H16" s="182">
        <f t="shared" si="2"/>
        <v>25000</v>
      </c>
      <c r="I16" s="182">
        <f t="shared" si="2"/>
        <v>0</v>
      </c>
      <c r="J16" s="182">
        <f t="shared" si="2"/>
        <v>0</v>
      </c>
    </row>
    <row r="17" spans="1:10" s="155" customFormat="1" ht="16.5" customHeight="1">
      <c r="A17" s="163"/>
      <c r="B17" s="72" t="s">
        <v>149</v>
      </c>
      <c r="C17" s="827">
        <v>0</v>
      </c>
      <c r="D17" s="70">
        <v>27810</v>
      </c>
      <c r="E17" s="70">
        <v>74370</v>
      </c>
      <c r="F17" s="70">
        <v>0</v>
      </c>
      <c r="G17" s="164">
        <v>0</v>
      </c>
      <c r="H17" s="72">
        <f>H12</f>
        <v>25000</v>
      </c>
      <c r="I17" s="72">
        <v>0</v>
      </c>
      <c r="J17" s="72">
        <v>0</v>
      </c>
    </row>
    <row r="18" spans="1:10" s="155" customFormat="1" ht="16.5" customHeight="1">
      <c r="A18" s="163"/>
      <c r="B18" s="72" t="s">
        <v>150</v>
      </c>
      <c r="C18" s="827">
        <v>0</v>
      </c>
      <c r="D18" s="70">
        <v>0</v>
      </c>
      <c r="E18" s="70">
        <v>0</v>
      </c>
      <c r="F18" s="70">
        <v>0</v>
      </c>
      <c r="G18" s="164">
        <v>0</v>
      </c>
      <c r="H18" s="72">
        <v>0</v>
      </c>
      <c r="I18" s="72">
        <v>0</v>
      </c>
      <c r="J18" s="72">
        <v>0</v>
      </c>
    </row>
    <row r="19" spans="1:10" s="155" customFormat="1" ht="16.5" customHeight="1">
      <c r="A19" s="163"/>
      <c r="B19" s="72" t="s">
        <v>151</v>
      </c>
      <c r="C19" s="827">
        <v>0</v>
      </c>
      <c r="D19" s="70">
        <v>0</v>
      </c>
      <c r="E19" s="70">
        <v>0</v>
      </c>
      <c r="F19" s="70">
        <v>0</v>
      </c>
      <c r="G19" s="164">
        <v>0</v>
      </c>
      <c r="H19" s="72">
        <v>0</v>
      </c>
      <c r="I19" s="72">
        <v>0</v>
      </c>
      <c r="J19" s="72">
        <v>0</v>
      </c>
    </row>
    <row r="20" spans="1:10" s="155" customFormat="1" ht="23.25" customHeight="1">
      <c r="A20" s="163"/>
      <c r="B20" s="170" t="s">
        <v>355</v>
      </c>
      <c r="C20" s="827"/>
      <c r="D20" s="148">
        <f>SUM(D21:D22)</f>
        <v>0</v>
      </c>
      <c r="E20" s="148">
        <f aca="true" t="shared" si="3" ref="E20:J20">SUM(E21:E22)</f>
        <v>0</v>
      </c>
      <c r="F20" s="148">
        <f t="shared" si="3"/>
        <v>0</v>
      </c>
      <c r="G20" s="148">
        <f t="shared" si="3"/>
        <v>0</v>
      </c>
      <c r="H20" s="148">
        <f t="shared" si="3"/>
        <v>0</v>
      </c>
      <c r="I20" s="148">
        <f t="shared" si="3"/>
        <v>0</v>
      </c>
      <c r="J20" s="148">
        <f t="shared" si="3"/>
        <v>0</v>
      </c>
    </row>
    <row r="21" spans="1:10" s="155" customFormat="1" ht="13.5" customHeight="1">
      <c r="A21" s="163"/>
      <c r="B21" s="72" t="s">
        <v>356</v>
      </c>
      <c r="C21" s="827">
        <v>0</v>
      </c>
      <c r="D21" s="70">
        <v>0</v>
      </c>
      <c r="E21" s="70">
        <v>0</v>
      </c>
      <c r="F21" s="70">
        <v>0</v>
      </c>
      <c r="G21" s="154">
        <v>0</v>
      </c>
      <c r="H21" s="72">
        <v>0</v>
      </c>
      <c r="I21" s="72">
        <v>0</v>
      </c>
      <c r="J21" s="72">
        <v>0</v>
      </c>
    </row>
    <row r="22" spans="1:10" s="155" customFormat="1" ht="13.5" customHeight="1">
      <c r="A22" s="163"/>
      <c r="B22" s="165" t="s">
        <v>357</v>
      </c>
      <c r="C22" s="828">
        <v>0</v>
      </c>
      <c r="D22" s="166">
        <v>0</v>
      </c>
      <c r="E22" s="166">
        <v>0</v>
      </c>
      <c r="F22" s="166">
        <v>0</v>
      </c>
      <c r="G22" s="167">
        <v>0</v>
      </c>
      <c r="H22" s="165">
        <v>0</v>
      </c>
      <c r="I22" s="165">
        <v>0</v>
      </c>
      <c r="J22" s="165">
        <v>0</v>
      </c>
    </row>
    <row r="23" spans="1:11" s="149" customFormat="1" ht="22.5" customHeight="1">
      <c r="A23" s="161"/>
      <c r="B23" s="156" t="s">
        <v>1146</v>
      </c>
      <c r="C23" s="831">
        <v>45485</v>
      </c>
      <c r="D23" s="157">
        <f aca="true" t="shared" si="4" ref="D23:J23">C23+D11-D16</f>
        <v>74370</v>
      </c>
      <c r="E23" s="157">
        <f t="shared" si="4"/>
        <v>0</v>
      </c>
      <c r="F23" s="157">
        <f t="shared" si="4"/>
        <v>0</v>
      </c>
      <c r="G23" s="157">
        <f t="shared" si="4"/>
        <v>0</v>
      </c>
      <c r="H23" s="157">
        <f t="shared" si="4"/>
        <v>0</v>
      </c>
      <c r="I23" s="157">
        <f t="shared" si="4"/>
        <v>0</v>
      </c>
      <c r="J23" s="157">
        <f t="shared" si="4"/>
        <v>0</v>
      </c>
      <c r="K23" s="235"/>
    </row>
    <row r="24" spans="1:11" s="149" customFormat="1" ht="30.75" customHeight="1">
      <c r="A24" s="161"/>
      <c r="B24" s="1157" t="s">
        <v>1147</v>
      </c>
      <c r="C24" s="1158"/>
      <c r="D24" s="1158"/>
      <c r="E24" s="1158"/>
      <c r="F24" s="1158"/>
      <c r="G24" s="1158"/>
      <c r="H24" s="1158"/>
      <c r="I24" s="1158"/>
      <c r="J24" s="1159"/>
      <c r="K24" s="235"/>
    </row>
    <row r="25" spans="1:11" s="149" customFormat="1" ht="17.25" customHeight="1">
      <c r="A25" s="161"/>
      <c r="B25" s="1160"/>
      <c r="C25" s="1161"/>
      <c r="D25" s="1161"/>
      <c r="E25" s="1161"/>
      <c r="F25" s="1161"/>
      <c r="G25" s="1161"/>
      <c r="H25" s="1161"/>
      <c r="I25" s="1161"/>
      <c r="J25" s="1162"/>
      <c r="K25" s="235"/>
    </row>
    <row r="26" spans="1:11" s="149" customFormat="1" ht="18.75" customHeight="1">
      <c r="A26" s="161"/>
      <c r="B26" s="1115" t="s">
        <v>1045</v>
      </c>
      <c r="C26" s="1116"/>
      <c r="D26" s="1116"/>
      <c r="E26" s="1116"/>
      <c r="F26" s="1116"/>
      <c r="G26" s="1116"/>
      <c r="H26" s="1116"/>
      <c r="I26" s="1116"/>
      <c r="J26" s="1117"/>
      <c r="K26" s="235"/>
    </row>
    <row r="28" s="109" customFormat="1" ht="12.75">
      <c r="A28" s="200"/>
    </row>
    <row r="29" spans="4:5" ht="12.75">
      <c r="D29" s="1150"/>
      <c r="E29" s="1150"/>
    </row>
  </sheetData>
  <sheetProtection selectLockedCells="1" selectUnlockedCells="1"/>
  <mergeCells count="13">
    <mergeCell ref="D29:E29"/>
    <mergeCell ref="D1:J1"/>
    <mergeCell ref="B26:J26"/>
    <mergeCell ref="B6:J6"/>
    <mergeCell ref="B24:J25"/>
    <mergeCell ref="B2:J2"/>
    <mergeCell ref="B3:J3"/>
    <mergeCell ref="B4:J4"/>
    <mergeCell ref="B7:D7"/>
    <mergeCell ref="B5:J5"/>
    <mergeCell ref="B9:J9"/>
    <mergeCell ref="B14:J14"/>
    <mergeCell ref="B8:J8"/>
  </mergeCells>
  <printOptions/>
  <pageMargins left="0.787401575" right="0.787401575" top="0.984251969" bottom="0.984251969" header="0.492125985" footer="0.49212598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B1:I21"/>
  <sheetViews>
    <sheetView zoomScalePageLayoutView="0" workbookViewId="0" topLeftCell="A1">
      <selection activeCell="M13" sqref="M13"/>
    </sheetView>
  </sheetViews>
  <sheetFormatPr defaultColWidth="9.140625" defaultRowHeight="12.75"/>
  <cols>
    <col min="1" max="1" width="1.1484375" style="0" customWidth="1"/>
    <col min="2" max="2" width="25.421875" style="0" customWidth="1"/>
    <col min="3" max="3" width="17.7109375" style="0" customWidth="1"/>
    <col min="4" max="4" width="16.28125" style="0" customWidth="1"/>
    <col min="5" max="8" width="12.8515625" style="0" customWidth="1"/>
    <col min="9" max="9" width="15.421875" style="0" customWidth="1"/>
  </cols>
  <sheetData>
    <row r="1" spans="2:9" ht="15.75" customHeight="1">
      <c r="B1" s="142" t="s">
        <v>580</v>
      </c>
      <c r="C1" s="1126" t="s">
        <v>210</v>
      </c>
      <c r="D1" s="1127"/>
      <c r="E1" s="1127"/>
      <c r="F1" s="1127"/>
      <c r="G1" s="1127"/>
      <c r="H1" s="1128"/>
      <c r="I1" s="396" t="s">
        <v>349</v>
      </c>
    </row>
    <row r="2" spans="2:9" ht="12.75">
      <c r="B2" s="881" t="s">
        <v>414</v>
      </c>
      <c r="C2" s="882"/>
      <c r="D2" s="882"/>
      <c r="E2" s="882"/>
      <c r="F2" s="882"/>
      <c r="G2" s="882"/>
      <c r="H2" s="882"/>
      <c r="I2" s="883"/>
    </row>
    <row r="3" spans="2:9" ht="14.25">
      <c r="B3" s="884" t="s">
        <v>451</v>
      </c>
      <c r="C3" s="885"/>
      <c r="D3" s="885"/>
      <c r="E3" s="885"/>
      <c r="F3" s="885"/>
      <c r="G3" s="885"/>
      <c r="H3" s="885"/>
      <c r="I3" s="886"/>
    </row>
    <row r="4" spans="2:9" ht="14.25">
      <c r="B4" s="942" t="s">
        <v>314</v>
      </c>
      <c r="C4" s="943"/>
      <c r="D4" s="943"/>
      <c r="E4" s="943"/>
      <c r="F4" s="943"/>
      <c r="G4" s="943"/>
      <c r="H4" s="943"/>
      <c r="I4" s="944"/>
    </row>
    <row r="5" spans="2:9" ht="14.25">
      <c r="B5" s="945" t="s">
        <v>1083</v>
      </c>
      <c r="C5" s="946"/>
      <c r="D5" s="946"/>
      <c r="E5" s="946"/>
      <c r="F5" s="946"/>
      <c r="G5" s="946"/>
      <c r="H5" s="946"/>
      <c r="I5" s="947"/>
    </row>
    <row r="6" spans="2:9" s="109" customFormat="1" ht="12.75">
      <c r="B6" s="1169" t="s">
        <v>399</v>
      </c>
      <c r="C6" s="1170"/>
      <c r="D6" s="1170"/>
      <c r="E6" s="1170"/>
      <c r="F6" s="1170"/>
      <c r="G6" s="1170"/>
      <c r="H6" s="1170"/>
      <c r="I6" s="1171"/>
    </row>
    <row r="7" spans="2:9" s="109" customFormat="1" ht="12.75" customHeight="1">
      <c r="B7" s="948" t="str">
        <f>'TAB. P - PARÂMETROS'!B8</f>
        <v>ANEXO do Projeto de Lei n°. 051/2015 </v>
      </c>
      <c r="C7" s="950"/>
      <c r="D7" s="227"/>
      <c r="E7" s="227"/>
      <c r="F7" s="227"/>
      <c r="G7" s="227"/>
      <c r="H7" s="227"/>
      <c r="I7" s="228"/>
    </row>
    <row r="8" spans="2:9" ht="17.25" customHeight="1">
      <c r="B8" s="1180" t="s">
        <v>368</v>
      </c>
      <c r="C8" s="1181"/>
      <c r="D8" s="1181"/>
      <c r="E8" s="1181"/>
      <c r="F8" s="1181"/>
      <c r="G8" s="1181"/>
      <c r="H8" s="1181"/>
      <c r="I8" s="1182"/>
    </row>
    <row r="9" spans="2:9" ht="12.75" customHeight="1">
      <c r="B9" s="1185" t="s">
        <v>366</v>
      </c>
      <c r="C9" s="1183" t="s">
        <v>369</v>
      </c>
      <c r="D9" s="1183" t="s">
        <v>316</v>
      </c>
      <c r="E9" s="1180" t="s">
        <v>315</v>
      </c>
      <c r="F9" s="1181"/>
      <c r="G9" s="1181"/>
      <c r="H9" s="1182"/>
      <c r="I9" s="397"/>
    </row>
    <row r="10" spans="2:9" ht="38.25" customHeight="1">
      <c r="B10" s="1186"/>
      <c r="C10" s="1184"/>
      <c r="D10" s="1184"/>
      <c r="E10" s="158">
        <v>2015</v>
      </c>
      <c r="F10" s="158">
        <v>2016</v>
      </c>
      <c r="G10" s="158">
        <v>2017</v>
      </c>
      <c r="H10" s="158">
        <v>2018</v>
      </c>
      <c r="I10" s="158" t="s">
        <v>367</v>
      </c>
    </row>
    <row r="11" spans="2:9" ht="15" customHeight="1">
      <c r="B11" s="173" t="s">
        <v>445</v>
      </c>
      <c r="C11" s="175">
        <v>0</v>
      </c>
      <c r="D11" s="175">
        <v>0</v>
      </c>
      <c r="E11" s="175">
        <v>0</v>
      </c>
      <c r="F11" s="175">
        <v>0</v>
      </c>
      <c r="G11" s="175">
        <v>0</v>
      </c>
      <c r="H11" s="175">
        <v>0</v>
      </c>
      <c r="I11" s="1175" t="s">
        <v>171</v>
      </c>
    </row>
    <row r="12" spans="2:9" ht="81" customHeight="1">
      <c r="B12" s="176" t="s">
        <v>446</v>
      </c>
      <c r="C12" s="73">
        <v>0</v>
      </c>
      <c r="D12" s="73">
        <v>0</v>
      </c>
      <c r="E12" s="73">
        <v>0</v>
      </c>
      <c r="F12" s="73">
        <v>0</v>
      </c>
      <c r="G12" s="73">
        <v>0</v>
      </c>
      <c r="H12" s="73">
        <v>0</v>
      </c>
      <c r="I12" s="1176"/>
    </row>
    <row r="13" spans="2:9" ht="18.75" customHeight="1">
      <c r="B13" s="195" t="s">
        <v>287</v>
      </c>
      <c r="C13" s="195">
        <v>0</v>
      </c>
      <c r="D13" s="195">
        <v>0</v>
      </c>
      <c r="E13" s="195">
        <v>0</v>
      </c>
      <c r="F13" s="196">
        <v>0</v>
      </c>
      <c r="G13" s="196">
        <v>0</v>
      </c>
      <c r="H13" s="196">
        <v>0</v>
      </c>
      <c r="I13" s="196">
        <v>0</v>
      </c>
    </row>
    <row r="14" spans="2:9" ht="34.5" customHeight="1">
      <c r="B14" s="1172" t="s">
        <v>1160</v>
      </c>
      <c r="C14" s="1173"/>
      <c r="D14" s="1173"/>
      <c r="E14" s="1173"/>
      <c r="F14" s="1173"/>
      <c r="G14" s="1173"/>
      <c r="H14" s="1173"/>
      <c r="I14" s="1174"/>
    </row>
    <row r="15" spans="2:9" ht="31.5" customHeight="1">
      <c r="B15" s="1177" t="s">
        <v>1161</v>
      </c>
      <c r="C15" s="1178"/>
      <c r="D15" s="1178"/>
      <c r="E15" s="1178"/>
      <c r="F15" s="1178"/>
      <c r="G15" s="1178"/>
      <c r="H15" s="1178"/>
      <c r="I15" s="1179"/>
    </row>
    <row r="16" spans="2:9" ht="12.75">
      <c r="B16" s="1166" t="s">
        <v>1046</v>
      </c>
      <c r="C16" s="1167"/>
      <c r="D16" s="1167"/>
      <c r="E16" s="1167"/>
      <c r="F16" s="1167"/>
      <c r="G16" s="1167"/>
      <c r="H16" s="1167"/>
      <c r="I16" s="1168"/>
    </row>
    <row r="21" ht="12.75">
      <c r="B21" s="502"/>
    </row>
  </sheetData>
  <sheetProtection selectLockedCells="1" selectUnlockedCells="1"/>
  <mergeCells count="16">
    <mergeCell ref="C1:H1"/>
    <mergeCell ref="C9:C10"/>
    <mergeCell ref="B5:I5"/>
    <mergeCell ref="B2:I2"/>
    <mergeCell ref="B3:I3"/>
    <mergeCell ref="B4:I4"/>
    <mergeCell ref="B9:B10"/>
    <mergeCell ref="B7:C7"/>
    <mergeCell ref="B16:I16"/>
    <mergeCell ref="B6:I6"/>
    <mergeCell ref="B14:I14"/>
    <mergeCell ref="I11:I12"/>
    <mergeCell ref="B15:I15"/>
    <mergeCell ref="B8:I8"/>
    <mergeCell ref="E9:H9"/>
    <mergeCell ref="D9:D10"/>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B1:J27"/>
  <sheetViews>
    <sheetView zoomScalePageLayoutView="0" workbookViewId="0" topLeftCell="B2">
      <selection activeCell="H13" sqref="H13"/>
    </sheetView>
  </sheetViews>
  <sheetFormatPr defaultColWidth="9.140625" defaultRowHeight="12.75"/>
  <cols>
    <col min="1" max="1" width="2.8515625" style="0" customWidth="1"/>
    <col min="2" max="2" width="40.421875" style="0" customWidth="1"/>
    <col min="3" max="3" width="12.8515625" style="109" customWidth="1"/>
    <col min="4" max="10" width="12.28125" style="0" customWidth="1"/>
  </cols>
  <sheetData>
    <row r="1" spans="2:10" s="351" customFormat="1" ht="14.25" customHeight="1">
      <c r="B1" s="398" t="s">
        <v>579</v>
      </c>
      <c r="C1" s="1187" t="s">
        <v>210</v>
      </c>
      <c r="D1" s="1188"/>
      <c r="E1" s="1188"/>
      <c r="F1" s="1188"/>
      <c r="G1" s="1188"/>
      <c r="H1" s="1188"/>
      <c r="I1" s="1188"/>
      <c r="J1" s="399" t="s">
        <v>64</v>
      </c>
    </row>
    <row r="2" spans="2:10" s="68" customFormat="1" ht="12.75" customHeight="1">
      <c r="B2" s="1087" t="s">
        <v>414</v>
      </c>
      <c r="C2" s="1088"/>
      <c r="D2" s="1088"/>
      <c r="E2" s="1088"/>
      <c r="F2" s="1088"/>
      <c r="G2" s="1088"/>
      <c r="H2" s="1088"/>
      <c r="I2" s="1088"/>
      <c r="J2" s="1089"/>
    </row>
    <row r="3" spans="2:10" s="68" customFormat="1" ht="12" customHeight="1">
      <c r="B3" s="1090" t="s">
        <v>451</v>
      </c>
      <c r="C3" s="1091"/>
      <c r="D3" s="1091"/>
      <c r="E3" s="1091"/>
      <c r="F3" s="1091"/>
      <c r="G3" s="1091"/>
      <c r="H3" s="1091"/>
      <c r="I3" s="1091"/>
      <c r="J3" s="1092"/>
    </row>
    <row r="4" spans="2:10" s="68" customFormat="1" ht="14.25" customHeight="1">
      <c r="B4" s="1195" t="s">
        <v>299</v>
      </c>
      <c r="C4" s="1196"/>
      <c r="D4" s="1196"/>
      <c r="E4" s="1196"/>
      <c r="F4" s="1196"/>
      <c r="G4" s="1196"/>
      <c r="H4" s="1196"/>
      <c r="I4" s="1196"/>
      <c r="J4" s="1197"/>
    </row>
    <row r="5" spans="2:10" s="68" customFormat="1" ht="14.25" customHeight="1">
      <c r="B5" s="1090" t="s">
        <v>1083</v>
      </c>
      <c r="C5" s="1091"/>
      <c r="D5" s="1091"/>
      <c r="E5" s="1091"/>
      <c r="F5" s="1091"/>
      <c r="G5" s="1091"/>
      <c r="H5" s="1091"/>
      <c r="I5" s="1091"/>
      <c r="J5" s="1092"/>
    </row>
    <row r="6" spans="2:10" ht="12.75" customHeight="1">
      <c r="B6" s="1198" t="s">
        <v>317</v>
      </c>
      <c r="C6" s="1199"/>
      <c r="D6" s="1199"/>
      <c r="E6" s="1199"/>
      <c r="F6" s="1199"/>
      <c r="G6" s="1199"/>
      <c r="H6" s="1199"/>
      <c r="I6" s="1199"/>
      <c r="J6" s="1200"/>
    </row>
    <row r="7" spans="2:10" s="109" customFormat="1" ht="12.75" customHeight="1">
      <c r="B7" s="1100" t="str">
        <f>'TAB. P - PARÂMETROS'!B8</f>
        <v>ANEXO do Projeto de Lei n°. 051/2015 </v>
      </c>
      <c r="C7" s="1101"/>
      <c r="D7" s="1189"/>
      <c r="E7" s="1190"/>
      <c r="F7" s="1190"/>
      <c r="G7" s="1190"/>
      <c r="H7" s="1190"/>
      <c r="I7" s="1190"/>
      <c r="J7" s="1191"/>
    </row>
    <row r="8" spans="2:10" ht="11.25" customHeight="1">
      <c r="B8" s="1138" t="s">
        <v>1090</v>
      </c>
      <c r="C8" s="1139"/>
      <c r="D8" s="1139"/>
      <c r="E8" s="1139"/>
      <c r="F8" s="1139"/>
      <c r="G8" s="1139"/>
      <c r="H8" s="1139"/>
      <c r="I8" s="1139"/>
      <c r="J8" s="1140"/>
    </row>
    <row r="9" spans="2:10" s="152" customFormat="1" ht="16.5" customHeight="1">
      <c r="B9" s="1180" t="s">
        <v>301</v>
      </c>
      <c r="C9" s="1181"/>
      <c r="D9" s="1181"/>
      <c r="E9" s="1181"/>
      <c r="F9" s="1181"/>
      <c r="G9" s="1181"/>
      <c r="H9" s="1181"/>
      <c r="I9" s="1181"/>
      <c r="J9" s="1182"/>
    </row>
    <row r="10" spans="2:10" s="152" customFormat="1" ht="26.25" customHeight="1">
      <c r="B10" s="1192" t="s">
        <v>448</v>
      </c>
      <c r="C10" s="1193"/>
      <c r="D10" s="144" t="s">
        <v>539</v>
      </c>
      <c r="E10" s="144" t="s">
        <v>162</v>
      </c>
      <c r="F10" s="144" t="s">
        <v>163</v>
      </c>
      <c r="G10" s="144" t="s">
        <v>164</v>
      </c>
      <c r="H10" s="144" t="s">
        <v>165</v>
      </c>
      <c r="I10" s="144" t="s">
        <v>166</v>
      </c>
      <c r="J10" s="144" t="s">
        <v>167</v>
      </c>
    </row>
    <row r="11" spans="2:10" s="152" customFormat="1" ht="15" customHeight="1">
      <c r="B11" s="178" t="s">
        <v>21</v>
      </c>
      <c r="C11" s="193" t="s">
        <v>438</v>
      </c>
      <c r="D11" s="144">
        <v>2012</v>
      </c>
      <c r="E11" s="144">
        <v>2013</v>
      </c>
      <c r="F11" s="144">
        <v>2014</v>
      </c>
      <c r="G11" s="144">
        <v>2015</v>
      </c>
      <c r="H11" s="144">
        <v>2016</v>
      </c>
      <c r="I11" s="144">
        <v>2017</v>
      </c>
      <c r="J11" s="144">
        <v>2018</v>
      </c>
    </row>
    <row r="12" spans="2:10" s="149" customFormat="1" ht="21.75" customHeight="1">
      <c r="B12" s="837" t="s">
        <v>370</v>
      </c>
      <c r="C12" s="384" t="s">
        <v>582</v>
      </c>
      <c r="D12" s="837">
        <v>0</v>
      </c>
      <c r="E12" s="837">
        <v>0</v>
      </c>
      <c r="F12" s="837">
        <v>0</v>
      </c>
      <c r="G12" s="837">
        <v>0</v>
      </c>
      <c r="H12" s="837">
        <f>'VLR 2012 a 2018 ATUALIZ média'!O60-'VLR 2012 a 2018 ATUALIZ média'!N60</f>
        <v>708199.2186513734</v>
      </c>
      <c r="I12" s="837">
        <f>'VLR 2012 a 2018 ATUALIZ média'!P60-'VLR 2012 a 2018 ATUALIZ média'!O60</f>
        <v>69521.55663094297</v>
      </c>
      <c r="J12" s="837">
        <f>'VLR 2012 a 2018 ATUALIZ média'!Q60-'VLR 2012 a 2018 ATUALIZ média'!P60</f>
        <v>70842.46620693104</v>
      </c>
    </row>
    <row r="13" spans="2:10" s="150" customFormat="1" ht="20.25" customHeight="1">
      <c r="B13" s="71" t="s">
        <v>296</v>
      </c>
      <c r="C13" s="384" t="s">
        <v>431</v>
      </c>
      <c r="D13" s="71">
        <v>0</v>
      </c>
      <c r="E13" s="71">
        <v>0</v>
      </c>
      <c r="F13" s="71">
        <v>0</v>
      </c>
      <c r="G13" s="71">
        <v>0</v>
      </c>
      <c r="H13" s="71">
        <v>0</v>
      </c>
      <c r="I13" s="71">
        <v>0</v>
      </c>
      <c r="J13" s="71">
        <v>0</v>
      </c>
    </row>
    <row r="14" spans="2:10" s="150" customFormat="1" ht="21.75" customHeight="1">
      <c r="B14" s="71" t="s">
        <v>295</v>
      </c>
      <c r="C14" s="384" t="s">
        <v>289</v>
      </c>
      <c r="D14" s="71">
        <v>0</v>
      </c>
      <c r="E14" s="71">
        <v>0</v>
      </c>
      <c r="F14" s="71">
        <v>0</v>
      </c>
      <c r="G14" s="71">
        <v>0</v>
      </c>
      <c r="H14" s="71">
        <v>0</v>
      </c>
      <c r="I14" s="71">
        <v>0</v>
      </c>
      <c r="J14" s="71">
        <v>0</v>
      </c>
    </row>
    <row r="15" spans="2:10" s="149" customFormat="1" ht="12" customHeight="1">
      <c r="B15" s="183" t="s">
        <v>371</v>
      </c>
      <c r="C15" s="384" t="s">
        <v>450</v>
      </c>
      <c r="D15" s="183">
        <f aca="true" t="shared" si="0" ref="D15:J15">D12-(D13-D14)</f>
        <v>0</v>
      </c>
      <c r="E15" s="183">
        <f t="shared" si="0"/>
        <v>0</v>
      </c>
      <c r="F15" s="183">
        <f t="shared" si="0"/>
        <v>0</v>
      </c>
      <c r="G15" s="183">
        <f t="shared" si="0"/>
        <v>0</v>
      </c>
      <c r="H15" s="183">
        <f>H12-(H13-H14)</f>
        <v>708199.2186513734</v>
      </c>
      <c r="I15" s="183">
        <f t="shared" si="0"/>
        <v>69521.55663094297</v>
      </c>
      <c r="J15" s="183">
        <f t="shared" si="0"/>
        <v>70842.46620693104</v>
      </c>
    </row>
    <row r="16" spans="2:10" s="149" customFormat="1" ht="15" customHeight="1">
      <c r="B16" s="183" t="s">
        <v>372</v>
      </c>
      <c r="C16" s="384" t="s">
        <v>433</v>
      </c>
      <c r="D16" s="199">
        <v>0</v>
      </c>
      <c r="E16" s="199">
        <v>0</v>
      </c>
      <c r="F16" s="199">
        <v>0</v>
      </c>
      <c r="G16" s="199">
        <v>0</v>
      </c>
      <c r="H16" s="199">
        <v>0</v>
      </c>
      <c r="I16" s="199">
        <v>0</v>
      </c>
      <c r="J16" s="199">
        <v>0</v>
      </c>
    </row>
    <row r="17" spans="2:10" s="149" customFormat="1" ht="17.25" customHeight="1">
      <c r="B17" s="837" t="s">
        <v>430</v>
      </c>
      <c r="C17" s="384" t="s">
        <v>434</v>
      </c>
      <c r="D17" s="837">
        <f aca="true" t="shared" si="1" ref="D17:J17">D15+D16</f>
        <v>0</v>
      </c>
      <c r="E17" s="837">
        <f t="shared" si="1"/>
        <v>0</v>
      </c>
      <c r="F17" s="837">
        <f t="shared" si="1"/>
        <v>0</v>
      </c>
      <c r="G17" s="837">
        <f t="shared" si="1"/>
        <v>0</v>
      </c>
      <c r="H17" s="837">
        <f t="shared" si="1"/>
        <v>708199.2186513734</v>
      </c>
      <c r="I17" s="837">
        <f t="shared" si="1"/>
        <v>69521.55663094297</v>
      </c>
      <c r="J17" s="837">
        <f t="shared" si="1"/>
        <v>70842.46620693104</v>
      </c>
    </row>
    <row r="18" spans="2:10" s="149" customFormat="1" ht="23.25" customHeight="1">
      <c r="B18" s="183" t="s">
        <v>373</v>
      </c>
      <c r="C18" s="384" t="s">
        <v>288</v>
      </c>
      <c r="D18" s="198">
        <f aca="true" t="shared" si="2" ref="D18:J18">SUM(D19:D20)</f>
        <v>0</v>
      </c>
      <c r="E18" s="198">
        <f t="shared" si="2"/>
        <v>0</v>
      </c>
      <c r="F18" s="198">
        <f t="shared" si="2"/>
        <v>0</v>
      </c>
      <c r="G18" s="198">
        <f t="shared" si="2"/>
        <v>0</v>
      </c>
      <c r="H18" s="198">
        <f>SUM(H19:H20)</f>
        <v>823799.6211908241</v>
      </c>
      <c r="I18" s="198">
        <f t="shared" si="2"/>
        <v>41712.93397856578</v>
      </c>
      <c r="J18" s="198">
        <f t="shared" si="2"/>
        <v>42505.47972415863</v>
      </c>
    </row>
    <row r="19" spans="2:10" s="150" customFormat="1" ht="18.75" customHeight="1">
      <c r="B19" s="71" t="s">
        <v>437</v>
      </c>
      <c r="C19" s="384" t="s">
        <v>439</v>
      </c>
      <c r="D19" s="71">
        <v>0</v>
      </c>
      <c r="E19" s="71">
        <v>0</v>
      </c>
      <c r="F19" s="71">
        <v>0</v>
      </c>
      <c r="G19" s="71">
        <v>0</v>
      </c>
      <c r="H19" s="71">
        <f>('III. PESSOAL EXEC. LEG. X RCL '!H29*'TAB. P - PARÂMETROS'!E14)+('III. PESSOAL EXEC. LEG. X RCL '!H42*'TAB. P - PARÂMETROS'!E21)+(H12*0.6)</f>
        <v>823799.6211908241</v>
      </c>
      <c r="I19" s="71">
        <f>('III. PESSOAL EXEC. LEG. X RCL '!I29*'TAB. P - PARÂMETROS'!F14)+('III. PESSOAL EXEC. LEG. X RCL '!I42*'TAB. P - PARÂMETROS'!F21)+(I12*0.6)</f>
        <v>41712.93397856578</v>
      </c>
      <c r="J19" s="71">
        <f>('III. PESSOAL EXEC. LEG. X RCL '!J29*'TAB. P - PARÂMETROS'!G14)+('III. PESSOAL EXEC. LEG. X RCL '!J42*'TAB. P - PARÂMETROS'!G21)+(J12*0.6)</f>
        <v>42505.47972415863</v>
      </c>
    </row>
    <row r="20" spans="2:10" s="150" customFormat="1" ht="16.5" customHeight="1">
      <c r="B20" s="71" t="s">
        <v>432</v>
      </c>
      <c r="C20" s="384" t="s">
        <v>435</v>
      </c>
      <c r="D20" s="71">
        <v>0</v>
      </c>
      <c r="E20" s="71">
        <v>0</v>
      </c>
      <c r="F20" s="71">
        <v>0</v>
      </c>
      <c r="G20" s="394">
        <v>0</v>
      </c>
      <c r="H20" s="394">
        <v>0</v>
      </c>
      <c r="I20" s="70">
        <v>0</v>
      </c>
      <c r="J20" s="70">
        <v>0</v>
      </c>
    </row>
    <row r="21" spans="2:10" s="150" customFormat="1" ht="16.5" customHeight="1">
      <c r="B21" s="838" t="s">
        <v>374</v>
      </c>
      <c r="C21" s="384" t="s">
        <v>436</v>
      </c>
      <c r="D21" s="838">
        <f>D17+D18</f>
        <v>0</v>
      </c>
      <c r="E21" s="145">
        <f>E17+E18</f>
        <v>0</v>
      </c>
      <c r="F21" s="145">
        <f>F17+F18</f>
        <v>0</v>
      </c>
      <c r="G21" s="145">
        <f>G17+G18</f>
        <v>0</v>
      </c>
      <c r="H21" s="145">
        <f>H17-H18</f>
        <v>-115600.40253945068</v>
      </c>
      <c r="I21" s="145">
        <f>I17-I18</f>
        <v>27808.62265237719</v>
      </c>
      <c r="J21" s="145">
        <f>J17-J18</f>
        <v>28336.986482772416</v>
      </c>
    </row>
    <row r="22" spans="2:10" ht="28.5" customHeight="1">
      <c r="B22" s="1194" t="s">
        <v>1162</v>
      </c>
      <c r="C22" s="1119"/>
      <c r="D22" s="1119"/>
      <c r="E22" s="1119"/>
      <c r="F22" s="1119"/>
      <c r="G22" s="1119"/>
      <c r="H22" s="1119"/>
      <c r="I22" s="1119"/>
      <c r="J22" s="1120"/>
    </row>
    <row r="23" spans="4:10" ht="12.75">
      <c r="D23" s="109"/>
      <c r="E23" s="109"/>
      <c r="F23" s="109"/>
      <c r="G23" s="109"/>
      <c r="H23" s="568"/>
      <c r="I23" s="568"/>
      <c r="J23" s="568"/>
    </row>
    <row r="24" spans="4:9" ht="12.75">
      <c r="D24" s="109"/>
      <c r="E24" s="109"/>
      <c r="F24" s="109"/>
      <c r="G24" s="109"/>
      <c r="H24" s="109"/>
      <c r="I24" s="109"/>
    </row>
    <row r="25" spans="4:9" ht="12.75">
      <c r="D25" s="109"/>
      <c r="E25" s="109"/>
      <c r="F25" s="109"/>
      <c r="G25" s="109"/>
      <c r="H25" s="109"/>
      <c r="I25" s="109"/>
    </row>
    <row r="27" ht="12.75">
      <c r="B27" s="502"/>
    </row>
  </sheetData>
  <sheetProtection selectLockedCells="1" selectUnlockedCells="1"/>
  <mergeCells count="12">
    <mergeCell ref="B7:C7"/>
    <mergeCell ref="B6:J6"/>
    <mergeCell ref="C1:I1"/>
    <mergeCell ref="D7:J7"/>
    <mergeCell ref="B10:C10"/>
    <mergeCell ref="B22:J22"/>
    <mergeCell ref="B9:J9"/>
    <mergeCell ref="B2:J2"/>
    <mergeCell ref="B3:J3"/>
    <mergeCell ref="B4:J4"/>
    <mergeCell ref="B5:J5"/>
    <mergeCell ref="B8:J8"/>
  </mergeCells>
  <printOptions/>
  <pageMargins left="0.1968503937007874" right="0.1968503937007874" top="0.984251968503937" bottom="0.3937007874015748"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N37"/>
  <sheetViews>
    <sheetView zoomScalePageLayoutView="0" workbookViewId="0" topLeftCell="A12">
      <selection activeCell="J17" sqref="J17"/>
    </sheetView>
  </sheetViews>
  <sheetFormatPr defaultColWidth="9.140625" defaultRowHeight="12.75"/>
  <cols>
    <col min="1" max="1" width="2.00390625" style="69" customWidth="1"/>
    <col min="2" max="2" width="27.140625" style="69" customWidth="1"/>
    <col min="3" max="3" width="18.8515625" style="69" customWidth="1"/>
    <col min="4" max="4" width="9.57421875" style="69" bestFit="1" customWidth="1"/>
    <col min="5" max="6" width="8.7109375" style="69" customWidth="1"/>
    <col min="7" max="7" width="2.28125" style="127" customWidth="1"/>
    <col min="8" max="8" width="23.421875" style="69" customWidth="1"/>
    <col min="9" max="9" width="16.00390625" style="69" customWidth="1"/>
    <col min="10" max="12" width="9.28125" style="69" customWidth="1"/>
    <col min="13" max="13" width="3.28125" style="109" customWidth="1"/>
  </cols>
  <sheetData>
    <row r="1" spans="1:12" ht="13.5" customHeight="1">
      <c r="A1" s="1212" t="s">
        <v>548</v>
      </c>
      <c r="B1" s="1213"/>
      <c r="C1" s="1217" t="s">
        <v>318</v>
      </c>
      <c r="D1" s="1218"/>
      <c r="E1" s="1218"/>
      <c r="F1" s="1218"/>
      <c r="G1" s="1218"/>
      <c r="H1" s="1218"/>
      <c r="I1" s="1218"/>
      <c r="J1" s="1218"/>
      <c r="K1" s="1219"/>
      <c r="L1" s="400" t="s">
        <v>1034</v>
      </c>
    </row>
    <row r="2" spans="1:12" ht="13.5">
      <c r="A2" s="1214" t="s">
        <v>414</v>
      </c>
      <c r="B2" s="1215"/>
      <c r="C2" s="1215"/>
      <c r="D2" s="1215"/>
      <c r="E2" s="1215"/>
      <c r="F2" s="1215"/>
      <c r="G2" s="1215"/>
      <c r="H2" s="1215"/>
      <c r="I2" s="1215"/>
      <c r="J2" s="1215"/>
      <c r="K2" s="1215"/>
      <c r="L2" s="1216"/>
    </row>
    <row r="3" spans="1:12" ht="13.5">
      <c r="A3" s="1214" t="s">
        <v>413</v>
      </c>
      <c r="B3" s="1215"/>
      <c r="C3" s="1215"/>
      <c r="D3" s="1215"/>
      <c r="E3" s="1215"/>
      <c r="F3" s="1215"/>
      <c r="G3" s="1215"/>
      <c r="H3" s="1215"/>
      <c r="I3" s="1215"/>
      <c r="J3" s="1215"/>
      <c r="K3" s="1215"/>
      <c r="L3" s="1216"/>
    </row>
    <row r="4" spans="1:12" ht="12.75" customHeight="1">
      <c r="A4" s="1201" t="s">
        <v>298</v>
      </c>
      <c r="B4" s="1202"/>
      <c r="C4" s="1202"/>
      <c r="D4" s="1202"/>
      <c r="E4" s="1202"/>
      <c r="F4" s="1202"/>
      <c r="G4" s="1202"/>
      <c r="H4" s="1202"/>
      <c r="I4" s="1202"/>
      <c r="J4" s="1202"/>
      <c r="K4" s="1202"/>
      <c r="L4" s="1203"/>
    </row>
    <row r="5" spans="1:12" ht="13.5">
      <c r="A5" s="1201" t="s">
        <v>1083</v>
      </c>
      <c r="B5" s="1202"/>
      <c r="C5" s="1202"/>
      <c r="D5" s="1202"/>
      <c r="E5" s="1202"/>
      <c r="F5" s="1202"/>
      <c r="G5" s="1202"/>
      <c r="H5" s="1202"/>
      <c r="I5" s="1202"/>
      <c r="J5" s="1202"/>
      <c r="K5" s="1202"/>
      <c r="L5" s="1203"/>
    </row>
    <row r="6" spans="1:12" ht="12.75">
      <c r="A6" s="1204" t="s">
        <v>560</v>
      </c>
      <c r="B6" s="1205"/>
      <c r="C6" s="298"/>
      <c r="D6" s="298"/>
      <c r="E6" s="298"/>
      <c r="F6" s="1206" t="str">
        <f>'TAB. P - PARÂMETROS'!B8</f>
        <v>ANEXO do Projeto de Lei n°. 051/2015 </v>
      </c>
      <c r="G6" s="1207"/>
      <c r="H6" s="1207"/>
      <c r="I6" s="1208"/>
      <c r="J6" s="1209" t="s">
        <v>1035</v>
      </c>
      <c r="K6" s="1210"/>
      <c r="L6" s="1211"/>
    </row>
    <row r="7" spans="1:12" ht="12.75">
      <c r="A7" s="299"/>
      <c r="B7" s="1227" t="s">
        <v>302</v>
      </c>
      <c r="C7" s="1228"/>
      <c r="D7" s="1228"/>
      <c r="E7" s="1228"/>
      <c r="F7" s="1228"/>
      <c r="G7" s="300"/>
      <c r="H7" s="1227" t="s">
        <v>417</v>
      </c>
      <c r="I7" s="1227"/>
      <c r="J7" s="1227"/>
      <c r="K7" s="1227"/>
      <c r="L7" s="1227"/>
    </row>
    <row r="8" spans="1:13" s="143" customFormat="1" ht="8.25">
      <c r="A8" s="1220" t="s">
        <v>586</v>
      </c>
      <c r="B8" s="1223" t="s">
        <v>419</v>
      </c>
      <c r="C8" s="1224" t="s">
        <v>418</v>
      </c>
      <c r="D8" s="1223" t="s">
        <v>416</v>
      </c>
      <c r="E8" s="1223"/>
      <c r="F8" s="1223"/>
      <c r="G8" s="1220" t="s">
        <v>586</v>
      </c>
      <c r="H8" s="1223" t="s">
        <v>419</v>
      </c>
      <c r="I8" s="1224" t="s">
        <v>418</v>
      </c>
      <c r="J8" s="1223" t="s">
        <v>416</v>
      </c>
      <c r="K8" s="1223"/>
      <c r="L8" s="1223"/>
      <c r="M8" s="256"/>
    </row>
    <row r="9" spans="1:13" s="143" customFormat="1" ht="16.5">
      <c r="A9" s="1221"/>
      <c r="B9" s="1223"/>
      <c r="C9" s="1225"/>
      <c r="D9" s="301" t="s">
        <v>303</v>
      </c>
      <c r="E9" s="1224" t="s">
        <v>415</v>
      </c>
      <c r="F9" s="1224"/>
      <c r="G9" s="1221"/>
      <c r="H9" s="1223"/>
      <c r="I9" s="1224"/>
      <c r="J9" s="301" t="s">
        <v>303</v>
      </c>
      <c r="K9" s="1224" t="s">
        <v>415</v>
      </c>
      <c r="L9" s="1224"/>
      <c r="M9" s="256"/>
    </row>
    <row r="10" spans="1:13" s="143" customFormat="1" ht="16.5" customHeight="1">
      <c r="A10" s="1222"/>
      <c r="B10" s="1223"/>
      <c r="C10" s="1225"/>
      <c r="D10" s="374">
        <v>2016</v>
      </c>
      <c r="E10" s="374">
        <v>2017</v>
      </c>
      <c r="F10" s="374">
        <v>2018</v>
      </c>
      <c r="G10" s="1222"/>
      <c r="H10" s="1226"/>
      <c r="I10" s="1224"/>
      <c r="J10" s="374">
        <f>D10</f>
        <v>2016</v>
      </c>
      <c r="K10" s="374">
        <f>E10</f>
        <v>2017</v>
      </c>
      <c r="L10" s="374">
        <f>F10</f>
        <v>2018</v>
      </c>
      <c r="M10" s="256"/>
    </row>
    <row r="11" spans="1:14" s="143" customFormat="1" ht="110.25" customHeight="1">
      <c r="A11" s="302" t="s">
        <v>539</v>
      </c>
      <c r="B11" s="197" t="s">
        <v>304</v>
      </c>
      <c r="C11" s="678" t="s">
        <v>1052</v>
      </c>
      <c r="D11" s="839">
        <v>711772.79</v>
      </c>
      <c r="E11" s="356">
        <v>0</v>
      </c>
      <c r="F11" s="356">
        <v>0</v>
      </c>
      <c r="G11" s="304"/>
      <c r="H11" s="305" t="s">
        <v>320</v>
      </c>
      <c r="I11" s="505" t="s">
        <v>35</v>
      </c>
      <c r="J11" s="839">
        <f>D11</f>
        <v>711772.79</v>
      </c>
      <c r="K11" s="356">
        <v>0</v>
      </c>
      <c r="L11" s="356">
        <v>0</v>
      </c>
      <c r="M11" s="256"/>
      <c r="N11" s="729"/>
    </row>
    <row r="12" spans="1:13" s="143" customFormat="1" ht="9.75" customHeight="1">
      <c r="A12" s="302" t="s">
        <v>162</v>
      </c>
      <c r="B12" s="197" t="s">
        <v>305</v>
      </c>
      <c r="C12" s="303">
        <v>0</v>
      </c>
      <c r="D12" s="356">
        <v>0</v>
      </c>
      <c r="E12" s="356">
        <v>0</v>
      </c>
      <c r="F12" s="356">
        <v>0</v>
      </c>
      <c r="G12" s="304"/>
      <c r="H12" s="305">
        <v>0</v>
      </c>
      <c r="I12" s="72"/>
      <c r="J12" s="356">
        <v>0</v>
      </c>
      <c r="K12" s="356">
        <v>0</v>
      </c>
      <c r="L12" s="356">
        <v>0</v>
      </c>
      <c r="M12" s="256"/>
    </row>
    <row r="13" spans="1:13" s="143" customFormat="1" ht="9.75" customHeight="1">
      <c r="A13" s="302" t="s">
        <v>163</v>
      </c>
      <c r="B13" s="197" t="s">
        <v>306</v>
      </c>
      <c r="C13" s="303">
        <v>0</v>
      </c>
      <c r="D13" s="356">
        <v>0</v>
      </c>
      <c r="E13" s="356">
        <v>0</v>
      </c>
      <c r="F13" s="356">
        <v>0</v>
      </c>
      <c r="G13" s="304"/>
      <c r="H13" s="305">
        <v>0</v>
      </c>
      <c r="I13" s="72"/>
      <c r="J13" s="356">
        <v>0</v>
      </c>
      <c r="K13" s="356">
        <v>0</v>
      </c>
      <c r="L13" s="356">
        <v>0</v>
      </c>
      <c r="M13" s="256"/>
    </row>
    <row r="14" spans="1:13" s="143" customFormat="1" ht="9.75" customHeight="1">
      <c r="A14" s="302" t="s">
        <v>164</v>
      </c>
      <c r="B14" s="197" t="s">
        <v>307</v>
      </c>
      <c r="C14" s="303">
        <v>0</v>
      </c>
      <c r="D14" s="356">
        <v>0</v>
      </c>
      <c r="E14" s="356">
        <v>0</v>
      </c>
      <c r="F14" s="356">
        <v>0</v>
      </c>
      <c r="G14" s="304"/>
      <c r="H14" s="305">
        <v>0</v>
      </c>
      <c r="I14" s="306">
        <v>0</v>
      </c>
      <c r="J14" s="356">
        <v>0</v>
      </c>
      <c r="K14" s="356">
        <v>0</v>
      </c>
      <c r="L14" s="356">
        <v>0</v>
      </c>
      <c r="M14" s="256"/>
    </row>
    <row r="15" spans="1:13" s="143" customFormat="1" ht="9.75" customHeight="1">
      <c r="A15" s="307" t="s">
        <v>165</v>
      </c>
      <c r="B15" s="305" t="s">
        <v>308</v>
      </c>
      <c r="C15" s="308">
        <v>0</v>
      </c>
      <c r="D15" s="357">
        <v>0</v>
      </c>
      <c r="E15" s="357">
        <v>0</v>
      </c>
      <c r="F15" s="357">
        <v>0</v>
      </c>
      <c r="G15" s="304"/>
      <c r="H15" s="305">
        <v>0</v>
      </c>
      <c r="I15" s="306">
        <v>0</v>
      </c>
      <c r="J15" s="357">
        <v>0</v>
      </c>
      <c r="K15" s="357">
        <v>0</v>
      </c>
      <c r="L15" s="357">
        <v>0</v>
      </c>
      <c r="M15" s="256"/>
    </row>
    <row r="16" spans="1:13" s="143" customFormat="1" ht="9.75" customHeight="1">
      <c r="A16" s="197" t="s">
        <v>166</v>
      </c>
      <c r="B16" s="197" t="s">
        <v>747</v>
      </c>
      <c r="C16" s="358">
        <v>0</v>
      </c>
      <c r="D16" s="356">
        <v>100000</v>
      </c>
      <c r="E16" s="356">
        <v>0</v>
      </c>
      <c r="F16" s="356">
        <v>0</v>
      </c>
      <c r="G16" s="309"/>
      <c r="H16" s="197">
        <v>0</v>
      </c>
      <c r="I16" s="197">
        <v>0</v>
      </c>
      <c r="J16" s="356">
        <v>100000</v>
      </c>
      <c r="K16" s="356">
        <v>0</v>
      </c>
      <c r="L16" s="356">
        <v>0</v>
      </c>
      <c r="M16" s="256"/>
    </row>
    <row r="17" spans="1:13" s="143" customFormat="1" ht="10.5" customHeight="1">
      <c r="A17" s="309"/>
      <c r="B17" s="369" t="s">
        <v>309</v>
      </c>
      <c r="C17" s="370"/>
      <c r="D17" s="371">
        <f>SUM(D11:D16)</f>
        <v>811772.79</v>
      </c>
      <c r="E17" s="371">
        <f>SUM(E11:E16)</f>
        <v>0</v>
      </c>
      <c r="F17" s="371">
        <f>SUM(F11:F16)</f>
        <v>0</v>
      </c>
      <c r="G17" s="368"/>
      <c r="H17" s="369" t="s">
        <v>309</v>
      </c>
      <c r="I17" s="372"/>
      <c r="J17" s="371">
        <f>SUM(J11:J16)</f>
        <v>811772.79</v>
      </c>
      <c r="K17" s="371">
        <f>SUM(K11:K16)</f>
        <v>0</v>
      </c>
      <c r="L17" s="371">
        <f>SUM(L11:L16)</f>
        <v>0</v>
      </c>
      <c r="M17" s="256"/>
    </row>
    <row r="18" spans="1:12" ht="1.5" customHeight="1">
      <c r="A18" s="310"/>
      <c r="B18" s="311"/>
      <c r="C18" s="312"/>
      <c r="D18" s="313"/>
      <c r="E18" s="313"/>
      <c r="F18" s="313"/>
      <c r="G18" s="310"/>
      <c r="H18" s="311"/>
      <c r="I18" s="314"/>
      <c r="J18" s="313"/>
      <c r="K18" s="313"/>
      <c r="L18" s="313"/>
    </row>
    <row r="19" spans="1:12" ht="12.75">
      <c r="A19" s="315"/>
      <c r="B19" s="1227" t="s">
        <v>310</v>
      </c>
      <c r="C19" s="1228"/>
      <c r="D19" s="1228"/>
      <c r="E19" s="1228"/>
      <c r="F19" s="1228"/>
      <c r="G19" s="316"/>
      <c r="H19" s="1227" t="s">
        <v>417</v>
      </c>
      <c r="I19" s="1227"/>
      <c r="J19" s="1227"/>
      <c r="K19" s="1227"/>
      <c r="L19" s="1227"/>
    </row>
    <row r="20" spans="1:13" s="143" customFormat="1" ht="27" customHeight="1">
      <c r="A20" s="359" t="s">
        <v>167</v>
      </c>
      <c r="B20" s="72" t="s">
        <v>311</v>
      </c>
      <c r="C20" s="743" t="s">
        <v>312</v>
      </c>
      <c r="D20" s="360">
        <f>'VLR 2012 a 2018 ATUALIZ média'!O14*4%</f>
        <v>27910.147887855648</v>
      </c>
      <c r="E20" s="360">
        <f>'VLR 2012 a 2018 ATUALIZ média'!P14*4%</f>
        <v>28377.2230610209</v>
      </c>
      <c r="F20" s="360">
        <f>'VLR 2012 a 2018 ATUALIZ média'!Q14*4%</f>
        <v>28958.95448304157</v>
      </c>
      <c r="G20" s="1229" t="s">
        <v>167</v>
      </c>
      <c r="H20" s="1232" t="s">
        <v>50</v>
      </c>
      <c r="I20" s="1234" t="s">
        <v>52</v>
      </c>
      <c r="J20" s="361"/>
      <c r="K20" s="361"/>
      <c r="L20" s="362"/>
      <c r="M20" s="256"/>
    </row>
    <row r="21" spans="1:13" s="143" customFormat="1" ht="24.75">
      <c r="A21" s="359" t="s">
        <v>168</v>
      </c>
      <c r="B21" s="72" t="s">
        <v>313</v>
      </c>
      <c r="C21" s="505" t="s">
        <v>629</v>
      </c>
      <c r="D21" s="360">
        <f>'VLR 2012 a 2018 ATUALIZ média'!O14*2%</f>
        <v>13955.073943927824</v>
      </c>
      <c r="E21" s="360">
        <f>'VLR 2012 a 2018 ATUALIZ média'!P14*2%</f>
        <v>14188.61153051045</v>
      </c>
      <c r="F21" s="360">
        <f>'VLR 2012 a 2018 ATUALIZ média'!Q14*2%</f>
        <v>14479.477241520784</v>
      </c>
      <c r="G21" s="1230"/>
      <c r="H21" s="1233"/>
      <c r="I21" s="1235"/>
      <c r="J21" s="363"/>
      <c r="K21" s="363"/>
      <c r="L21" s="364"/>
      <c r="M21" s="256"/>
    </row>
    <row r="22" spans="1:13" s="143" customFormat="1" ht="41.25">
      <c r="A22" s="359" t="s">
        <v>240</v>
      </c>
      <c r="B22" s="72" t="s">
        <v>630</v>
      </c>
      <c r="C22" s="505" t="s">
        <v>447</v>
      </c>
      <c r="D22" s="360">
        <f>'VLR 2012 a 2018 ATUALIZ média'!O12*2%</f>
        <v>273086.77826888027</v>
      </c>
      <c r="E22" s="360">
        <f>'VLR 2012 a 2018 ATUALIZ média'!P12*2%</f>
        <v>278243.81823763694</v>
      </c>
      <c r="F22" s="360">
        <f>'VLR 2012 a 2018 ATUALIZ média'!Q12*2%</f>
        <v>284499.15382431867</v>
      </c>
      <c r="G22" s="1231"/>
      <c r="H22" s="745" t="s">
        <v>420</v>
      </c>
      <c r="I22" s="1236"/>
      <c r="J22" s="365">
        <f>D22</f>
        <v>273086.77826888027</v>
      </c>
      <c r="K22" s="365">
        <f>E22</f>
        <v>278243.81823763694</v>
      </c>
      <c r="L22" s="366">
        <f>F22</f>
        <v>284499.15382431867</v>
      </c>
      <c r="M22" s="256"/>
    </row>
    <row r="23" spans="1:13" s="143" customFormat="1" ht="48" customHeight="1">
      <c r="A23" s="359" t="s">
        <v>616</v>
      </c>
      <c r="B23" s="72" t="s">
        <v>279</v>
      </c>
      <c r="C23" s="505" t="s">
        <v>631</v>
      </c>
      <c r="D23" s="360">
        <f>'II.  R.C.L. REALIZ. E ESTIMADA'!J32*1%</f>
        <v>127430.78009773555</v>
      </c>
      <c r="E23" s="360">
        <f>'II.  R.C.L. REALIZ. E ESTIMADA'!K32*1%</f>
        <v>129839.93665659848</v>
      </c>
      <c r="F23" s="360">
        <f>'II.  R.C.L. REALIZ. E ESTIMADA'!L32*1%</f>
        <v>132750.7698560698</v>
      </c>
      <c r="G23" s="367" t="s">
        <v>168</v>
      </c>
      <c r="H23" s="746" t="s">
        <v>53</v>
      </c>
      <c r="I23" s="746" t="s">
        <v>632</v>
      </c>
      <c r="J23" s="366">
        <f>SUM(D20+D21+D23+D24)</f>
        <v>172256.22380451902</v>
      </c>
      <c r="K23" s="366">
        <f>SUM(E20+E21+E23+E24)</f>
        <v>174953.13687312984</v>
      </c>
      <c r="L23" s="366">
        <f>SUM(F20+F21+F23+F24)</f>
        <v>178325.83908063214</v>
      </c>
      <c r="M23" s="256"/>
    </row>
    <row r="24" spans="1:13" s="143" customFormat="1" ht="51" customHeight="1">
      <c r="A24" s="359" t="s">
        <v>617</v>
      </c>
      <c r="B24" s="72" t="s">
        <v>1077</v>
      </c>
      <c r="C24" s="505" t="s">
        <v>633</v>
      </c>
      <c r="D24" s="360">
        <f>'I. MÉDIA DESPESA REAL E FIXADA'!N14*3%</f>
        <v>2960.2218749999997</v>
      </c>
      <c r="E24" s="360">
        <f>'I. MÉDIA DESPESA REAL E FIXADA'!O14*3%</f>
        <v>2547.365625</v>
      </c>
      <c r="F24" s="360">
        <f>'I. MÉDIA DESPESA REAL E FIXADA'!P14*3%</f>
        <v>2136.6375</v>
      </c>
      <c r="G24" s="1229" t="s">
        <v>240</v>
      </c>
      <c r="H24" s="1237" t="s">
        <v>54</v>
      </c>
      <c r="I24" s="1237" t="s">
        <v>727</v>
      </c>
      <c r="J24" s="362"/>
      <c r="K24" s="362"/>
      <c r="L24" s="362"/>
      <c r="M24" s="256"/>
    </row>
    <row r="25" spans="1:13" s="143" customFormat="1" ht="39" customHeight="1">
      <c r="A25" s="359" t="s">
        <v>618</v>
      </c>
      <c r="B25" s="73" t="s">
        <v>728</v>
      </c>
      <c r="C25" s="744" t="s">
        <v>729</v>
      </c>
      <c r="D25" s="360">
        <f>'VLR 2012 a 2018 ATUALIZ média'!O37</f>
        <v>40050.277691533265</v>
      </c>
      <c r="E25" s="360">
        <f>'VLR 2012 a 2018 ATUALIZ média'!P37</f>
        <v>40811.2329676724</v>
      </c>
      <c r="F25" s="360">
        <f>'VLR 2012 a 2018 ATUALIZ média'!Q37</f>
        <v>41790.70255889653</v>
      </c>
      <c r="G25" s="1231"/>
      <c r="H25" s="1238"/>
      <c r="I25" s="1238"/>
      <c r="J25" s="366">
        <f>D25</f>
        <v>40050.277691533265</v>
      </c>
      <c r="K25" s="366">
        <f>E25</f>
        <v>40811.2329676724</v>
      </c>
      <c r="L25" s="366">
        <f>F25</f>
        <v>41790.70255889653</v>
      </c>
      <c r="M25" s="256"/>
    </row>
    <row r="26" spans="1:13" s="143" customFormat="1" ht="10.5" customHeight="1">
      <c r="A26" s="368"/>
      <c r="B26" s="369" t="s">
        <v>309</v>
      </c>
      <c r="C26" s="370"/>
      <c r="D26" s="371">
        <f>SUM(D20:D25)</f>
        <v>485393.2797649326</v>
      </c>
      <c r="E26" s="371">
        <f>SUM(E20:E25)</f>
        <v>494008.18807843915</v>
      </c>
      <c r="F26" s="371">
        <f>SUM(F20:F25)</f>
        <v>504615.69546384737</v>
      </c>
      <c r="G26" s="368"/>
      <c r="H26" s="369" t="s">
        <v>309</v>
      </c>
      <c r="I26" s="372"/>
      <c r="J26" s="371">
        <f>SUM(J20:J25)</f>
        <v>485393.2797649325</v>
      </c>
      <c r="K26" s="371">
        <f>SUM(K20:K25)</f>
        <v>494008.1880784392</v>
      </c>
      <c r="L26" s="371">
        <f>SUM(L20:L25)</f>
        <v>504615.69546384737</v>
      </c>
      <c r="M26" s="256"/>
    </row>
    <row r="27" spans="1:13" s="143" customFormat="1" ht="10.5" customHeight="1">
      <c r="A27" s="373"/>
      <c r="B27" s="1246" t="s">
        <v>376</v>
      </c>
      <c r="C27" s="1247"/>
      <c r="D27" s="170">
        <f>SUM(D26+D17)</f>
        <v>1297166.0697649326</v>
      </c>
      <c r="E27" s="170">
        <f>SUM(E26+E17)</f>
        <v>494008.18807843915</v>
      </c>
      <c r="F27" s="170">
        <f>SUM(F26+F17)</f>
        <v>504615.69546384737</v>
      </c>
      <c r="G27" s="72"/>
      <c r="H27" s="1246" t="s">
        <v>291</v>
      </c>
      <c r="I27" s="1247"/>
      <c r="J27" s="170">
        <f>SUM(J26+J17)</f>
        <v>1297166.0697649326</v>
      </c>
      <c r="K27" s="170">
        <f>SUM(K26+K17)</f>
        <v>494008.1880784392</v>
      </c>
      <c r="L27" s="170">
        <f>SUM(L26+L17)</f>
        <v>504615.69546384737</v>
      </c>
      <c r="M27" s="256"/>
    </row>
    <row r="28" spans="1:13" s="143" customFormat="1" ht="12.75" customHeight="1">
      <c r="A28" s="1248" t="s">
        <v>122</v>
      </c>
      <c r="B28" s="1249"/>
      <c r="C28" s="1249"/>
      <c r="D28" s="1249"/>
      <c r="E28" s="1249"/>
      <c r="F28" s="1249"/>
      <c r="G28" s="1249"/>
      <c r="H28" s="1249"/>
      <c r="I28" s="1249"/>
      <c r="J28" s="1249"/>
      <c r="K28" s="1249"/>
      <c r="L28" s="1250"/>
      <c r="M28" s="256"/>
    </row>
    <row r="29" spans="1:13" s="143" customFormat="1" ht="8.25">
      <c r="A29" s="715"/>
      <c r="M29" s="256"/>
    </row>
    <row r="30" spans="1:13" s="143" customFormat="1" ht="8.25">
      <c r="A30" s="692"/>
      <c r="B30" s="692"/>
      <c r="C30" s="692"/>
      <c r="D30" s="692"/>
      <c r="E30" s="692"/>
      <c r="F30" s="692"/>
      <c r="G30" s="692"/>
      <c r="H30" s="692"/>
      <c r="I30" s="692"/>
      <c r="J30" s="692"/>
      <c r="K30" s="692"/>
      <c r="L30" s="692"/>
      <c r="M30" s="256"/>
    </row>
    <row r="31" spans="1:13" s="143" customFormat="1" ht="13.5">
      <c r="A31" s="692"/>
      <c r="B31" s="692"/>
      <c r="C31" s="692"/>
      <c r="D31" s="692"/>
      <c r="E31" s="692"/>
      <c r="F31" s="692"/>
      <c r="G31" s="692"/>
      <c r="H31" s="692"/>
      <c r="I31" s="692"/>
      <c r="J31" s="692"/>
      <c r="K31" s="692"/>
      <c r="L31" s="400" t="s">
        <v>1036</v>
      </c>
      <c r="M31" s="256"/>
    </row>
    <row r="32" spans="1:13" s="143" customFormat="1" ht="8.25">
      <c r="A32" s="750"/>
      <c r="B32" s="750"/>
      <c r="C32" s="750"/>
      <c r="D32" s="750"/>
      <c r="E32" s="750"/>
      <c r="F32" s="750"/>
      <c r="G32" s="750"/>
      <c r="H32" s="750"/>
      <c r="I32" s="750"/>
      <c r="J32" s="750"/>
      <c r="K32" s="750"/>
      <c r="L32" s="750"/>
      <c r="M32" s="256"/>
    </row>
    <row r="33" spans="1:13" s="143" customFormat="1" ht="15.75" customHeight="1">
      <c r="A33" s="1251" t="s">
        <v>55</v>
      </c>
      <c r="B33" s="1252"/>
      <c r="C33" s="1252"/>
      <c r="D33" s="1252"/>
      <c r="E33" s="1252"/>
      <c r="F33" s="1252"/>
      <c r="G33" s="1253"/>
      <c r="H33" s="1253"/>
      <c r="I33" s="1253"/>
      <c r="J33" s="1253"/>
      <c r="K33" s="1253"/>
      <c r="L33" s="1254"/>
      <c r="M33" s="256"/>
    </row>
    <row r="34" spans="1:13" s="143" customFormat="1" ht="35.25" customHeight="1">
      <c r="A34" s="1239" t="s">
        <v>58</v>
      </c>
      <c r="B34" s="1240"/>
      <c r="C34" s="1240"/>
      <c r="D34" s="1240"/>
      <c r="E34" s="1240"/>
      <c r="F34" s="1240"/>
      <c r="G34" s="1241"/>
      <c r="H34" s="1241"/>
      <c r="I34" s="1241"/>
      <c r="J34" s="1241"/>
      <c r="K34" s="1241"/>
      <c r="L34" s="1242"/>
      <c r="M34" s="256"/>
    </row>
    <row r="35" spans="1:12" ht="12.75">
      <c r="A35" s="1243" t="s">
        <v>1163</v>
      </c>
      <c r="B35" s="1244"/>
      <c r="C35" s="1244"/>
      <c r="D35" s="1244"/>
      <c r="E35" s="1244"/>
      <c r="F35" s="1244"/>
      <c r="G35" s="1244"/>
      <c r="H35" s="1244"/>
      <c r="I35" s="1244"/>
      <c r="J35" s="1244"/>
      <c r="K35" s="1244"/>
      <c r="L35" s="1245"/>
    </row>
    <row r="36" spans="1:12" ht="12.75">
      <c r="A36" s="74"/>
      <c r="B36" s="74"/>
      <c r="C36" s="74"/>
      <c r="D36" s="74"/>
      <c r="E36" s="74"/>
      <c r="F36" s="74"/>
      <c r="G36" s="74"/>
      <c r="H36" s="74"/>
      <c r="I36" s="74"/>
      <c r="J36" s="74"/>
      <c r="K36" s="74"/>
      <c r="L36" s="74"/>
    </row>
    <row r="37" ht="12.75">
      <c r="C37" s="503"/>
    </row>
  </sheetData>
  <sheetProtection selectLockedCells="1" selectUnlockedCells="1"/>
  <mergeCells count="35">
    <mergeCell ref="A34:L34"/>
    <mergeCell ref="A35:L35"/>
    <mergeCell ref="B27:C27"/>
    <mergeCell ref="H27:I27"/>
    <mergeCell ref="A28:L28"/>
    <mergeCell ref="A33:L33"/>
    <mergeCell ref="G20:G22"/>
    <mergeCell ref="H20:H21"/>
    <mergeCell ref="I20:I22"/>
    <mergeCell ref="G24:G25"/>
    <mergeCell ref="H24:H25"/>
    <mergeCell ref="I24:I25"/>
    <mergeCell ref="K9:L9"/>
    <mergeCell ref="B19:F19"/>
    <mergeCell ref="H19:L19"/>
    <mergeCell ref="B7:F7"/>
    <mergeCell ref="H7:L7"/>
    <mergeCell ref="I8:I10"/>
    <mergeCell ref="J8:L8"/>
    <mergeCell ref="A8:A10"/>
    <mergeCell ref="B8:B10"/>
    <mergeCell ref="C8:C10"/>
    <mergeCell ref="D8:F8"/>
    <mergeCell ref="G8:G10"/>
    <mergeCell ref="H8:H10"/>
    <mergeCell ref="E9:F9"/>
    <mergeCell ref="A4:L4"/>
    <mergeCell ref="A5:L5"/>
    <mergeCell ref="A6:B6"/>
    <mergeCell ref="F6:I6"/>
    <mergeCell ref="J6:L6"/>
    <mergeCell ref="A1:B1"/>
    <mergeCell ref="A2:L2"/>
    <mergeCell ref="A3:L3"/>
    <mergeCell ref="C1:K1"/>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G124"/>
  <sheetViews>
    <sheetView zoomScalePageLayoutView="0" workbookViewId="0" topLeftCell="A99">
      <selection activeCell="F84" sqref="F84"/>
    </sheetView>
  </sheetViews>
  <sheetFormatPr defaultColWidth="9.140625" defaultRowHeight="12.75"/>
  <cols>
    <col min="1" max="1" width="6.140625" style="677" customWidth="1"/>
    <col min="2" max="2" width="43.00390625" style="567" customWidth="1"/>
    <col min="3" max="3" width="37.28125" style="567" customWidth="1"/>
    <col min="4" max="5" width="9.57421875" style="567" customWidth="1"/>
    <col min="6" max="6" width="12.57421875" style="749" customWidth="1"/>
  </cols>
  <sheetData>
    <row r="1" spans="1:7" ht="15.75">
      <c r="A1" s="658"/>
      <c r="B1" s="659"/>
      <c r="C1" s="660"/>
      <c r="D1" s="660"/>
      <c r="E1" s="660"/>
      <c r="F1" s="747"/>
      <c r="G1" s="51" t="s">
        <v>1053</v>
      </c>
    </row>
    <row r="2" spans="1:7" ht="12.75">
      <c r="A2" s="1258" t="str">
        <f>'TAB. P - PARÂMETROS'!B8</f>
        <v>ANEXO do Projeto de Lei n°. 051/2015 </v>
      </c>
      <c r="B2" s="1258"/>
      <c r="C2" s="1258"/>
      <c r="D2" s="1258"/>
      <c r="E2" s="1258"/>
      <c r="F2" s="1258"/>
      <c r="G2" s="1258"/>
    </row>
    <row r="3" spans="1:7" ht="12.75">
      <c r="A3" s="1259" t="s">
        <v>0</v>
      </c>
      <c r="B3" s="1259"/>
      <c r="C3" s="1259"/>
      <c r="D3" s="1259"/>
      <c r="E3" s="1259"/>
      <c r="F3" s="1259"/>
      <c r="G3" s="1259"/>
    </row>
    <row r="4" spans="1:7" ht="12.75">
      <c r="A4" s="1260" t="s">
        <v>210</v>
      </c>
      <c r="B4" s="1260"/>
      <c r="C4" s="1260"/>
      <c r="D4" s="1260"/>
      <c r="E4" s="1260"/>
      <c r="F4" s="1260"/>
      <c r="G4" s="1260"/>
    </row>
    <row r="5" spans="1:7" ht="12.75">
      <c r="A5" s="1261" t="s">
        <v>47</v>
      </c>
      <c r="B5" s="1261"/>
      <c r="C5" s="1261"/>
      <c r="D5" s="1261"/>
      <c r="E5" s="1261"/>
      <c r="F5" s="1261"/>
      <c r="G5" s="1261"/>
    </row>
    <row r="6" spans="1:7" ht="79.5" customHeight="1">
      <c r="A6" s="1268" t="s">
        <v>4</v>
      </c>
      <c r="B6" s="1269"/>
      <c r="C6" s="1269"/>
      <c r="D6" s="1269"/>
      <c r="E6" s="1269"/>
      <c r="F6" s="1269"/>
      <c r="G6" s="1270"/>
    </row>
    <row r="7" spans="1:7" ht="12" customHeight="1">
      <c r="A7" s="1262" t="s">
        <v>14</v>
      </c>
      <c r="B7" s="1263"/>
      <c r="C7" s="1263"/>
      <c r="D7" s="1263"/>
      <c r="E7" s="1263"/>
      <c r="F7" s="1263"/>
      <c r="G7" s="1264"/>
    </row>
    <row r="8" spans="1:7" ht="84.75" customHeight="1">
      <c r="A8" s="1271" t="s">
        <v>5</v>
      </c>
      <c r="B8" s="1272"/>
      <c r="C8" s="1272"/>
      <c r="D8" s="1272"/>
      <c r="E8" s="1272"/>
      <c r="F8" s="1272"/>
      <c r="G8" s="1273"/>
    </row>
    <row r="9" spans="1:7" ht="82.5" customHeight="1">
      <c r="A9" s="1255" t="s">
        <v>1</v>
      </c>
      <c r="B9" s="1256"/>
      <c r="C9" s="1256"/>
      <c r="D9" s="1256"/>
      <c r="E9" s="1256"/>
      <c r="F9" s="1256"/>
      <c r="G9" s="1257"/>
    </row>
    <row r="10" spans="1:7" ht="81.75" customHeight="1">
      <c r="A10" s="1255" t="s">
        <v>2</v>
      </c>
      <c r="B10" s="1256"/>
      <c r="C10" s="1256"/>
      <c r="D10" s="1256"/>
      <c r="E10" s="1256"/>
      <c r="F10" s="1256"/>
      <c r="G10" s="1257"/>
    </row>
    <row r="11" spans="1:7" ht="13.5" customHeight="1">
      <c r="A11" s="1262" t="s">
        <v>3</v>
      </c>
      <c r="B11" s="1263"/>
      <c r="C11" s="1263"/>
      <c r="D11" s="1263"/>
      <c r="E11" s="1263"/>
      <c r="F11" s="1263"/>
      <c r="G11" s="1264"/>
    </row>
    <row r="12" spans="1:7" ht="13.5" customHeight="1">
      <c r="A12" s="694"/>
      <c r="B12" s="694"/>
      <c r="C12" s="694"/>
      <c r="D12" s="694"/>
      <c r="E12" s="694"/>
      <c r="F12" s="748"/>
      <c r="G12" s="694"/>
    </row>
    <row r="13" spans="1:7" ht="45">
      <c r="A13" s="662" t="s">
        <v>749</v>
      </c>
      <c r="B13" s="663" t="s">
        <v>750</v>
      </c>
      <c r="C13" s="661" t="s">
        <v>751</v>
      </c>
      <c r="D13" s="664" t="s">
        <v>752</v>
      </c>
      <c r="E13" s="664" t="s">
        <v>753</v>
      </c>
      <c r="F13" s="751" t="s">
        <v>754</v>
      </c>
      <c r="G13" s="738" t="s">
        <v>1054</v>
      </c>
    </row>
    <row r="14" spans="1:6" ht="12.75">
      <c r="A14" s="665" t="s">
        <v>755</v>
      </c>
      <c r="B14" s="666" t="s">
        <v>1024</v>
      </c>
      <c r="C14" s="666" t="s">
        <v>756</v>
      </c>
      <c r="D14" s="666"/>
      <c r="E14" s="666"/>
      <c r="F14" s="753"/>
    </row>
    <row r="15" spans="1:6" ht="22.5">
      <c r="A15" s="665" t="s">
        <v>492</v>
      </c>
      <c r="B15" s="666" t="s">
        <v>757</v>
      </c>
      <c r="C15" s="667" t="s">
        <v>758</v>
      </c>
      <c r="D15" s="668">
        <v>1</v>
      </c>
      <c r="E15" s="668">
        <v>1</v>
      </c>
      <c r="F15" s="753">
        <f>'METAS PRIORITARIAS FÍSICAS'!K13</f>
        <v>380000</v>
      </c>
    </row>
    <row r="16" spans="1:6" ht="12.75">
      <c r="A16" s="669" t="s">
        <v>759</v>
      </c>
      <c r="B16" s="670" t="s">
        <v>760</v>
      </c>
      <c r="C16" s="670"/>
      <c r="D16" s="670"/>
      <c r="E16" s="670"/>
      <c r="F16" s="754">
        <v>0</v>
      </c>
    </row>
    <row r="17" spans="1:6" ht="12.75">
      <c r="A17" s="669" t="s">
        <v>761</v>
      </c>
      <c r="B17" s="670" t="s">
        <v>762</v>
      </c>
      <c r="C17" s="670"/>
      <c r="D17" s="670"/>
      <c r="E17" s="670"/>
      <c r="F17" s="754">
        <v>0</v>
      </c>
    </row>
    <row r="18" spans="1:6" ht="12.75">
      <c r="A18" s="669" t="s">
        <v>763</v>
      </c>
      <c r="B18" s="670" t="s">
        <v>764</v>
      </c>
      <c r="C18" s="670"/>
      <c r="D18" s="670"/>
      <c r="E18" s="670"/>
      <c r="F18" s="754">
        <v>0</v>
      </c>
    </row>
    <row r="19" spans="1:6" ht="12.75">
      <c r="A19" s="669" t="s">
        <v>765</v>
      </c>
      <c r="B19" s="670" t="s">
        <v>766</v>
      </c>
      <c r="C19" s="670"/>
      <c r="D19" s="670"/>
      <c r="E19" s="670"/>
      <c r="F19" s="754">
        <v>0</v>
      </c>
    </row>
    <row r="20" spans="1:6" ht="12.75">
      <c r="A20" s="669" t="s">
        <v>767</v>
      </c>
      <c r="B20" s="670" t="s">
        <v>768</v>
      </c>
      <c r="C20" s="670"/>
      <c r="D20" s="670"/>
      <c r="E20" s="670"/>
      <c r="F20" s="754">
        <v>0</v>
      </c>
    </row>
    <row r="21" spans="1:6" ht="12.75">
      <c r="A21" s="669" t="s">
        <v>769</v>
      </c>
      <c r="B21" s="670" t="s">
        <v>770</v>
      </c>
      <c r="C21" s="670"/>
      <c r="D21" s="670"/>
      <c r="E21" s="670"/>
      <c r="F21" s="754">
        <v>0</v>
      </c>
    </row>
    <row r="22" spans="1:6" ht="12.75">
      <c r="A22" s="669" t="s">
        <v>771</v>
      </c>
      <c r="B22" s="670" t="s">
        <v>772</v>
      </c>
      <c r="C22" s="671"/>
      <c r="D22" s="670"/>
      <c r="E22" s="670"/>
      <c r="F22" s="754">
        <v>0</v>
      </c>
    </row>
    <row r="23" spans="1:6" ht="12.75">
      <c r="A23" s="669" t="s">
        <v>773</v>
      </c>
      <c r="B23" s="670" t="s">
        <v>774</v>
      </c>
      <c r="C23" s="670"/>
      <c r="D23" s="670"/>
      <c r="E23" s="670"/>
      <c r="F23" s="754">
        <v>0</v>
      </c>
    </row>
    <row r="24" spans="1:6" ht="33.75">
      <c r="A24" s="665" t="s">
        <v>502</v>
      </c>
      <c r="B24" s="666" t="s">
        <v>775</v>
      </c>
      <c r="C24" s="667" t="s">
        <v>776</v>
      </c>
      <c r="D24" s="668">
        <v>1</v>
      </c>
      <c r="E24" s="668">
        <v>1</v>
      </c>
      <c r="F24" s="753">
        <f>'METAS PRIORITARIAS FÍSICAS'!K17+'METAS PRIORITARIAS FÍSICAS'!K21</f>
        <v>1360000</v>
      </c>
    </row>
    <row r="25" spans="1:6" ht="12.75">
      <c r="A25" s="669" t="s">
        <v>777</v>
      </c>
      <c r="B25" s="670" t="s">
        <v>778</v>
      </c>
      <c r="C25" s="670"/>
      <c r="D25" s="670"/>
      <c r="E25" s="670"/>
      <c r="F25" s="754">
        <v>0</v>
      </c>
    </row>
    <row r="26" spans="1:6" ht="112.5">
      <c r="A26" s="665" t="s">
        <v>512</v>
      </c>
      <c r="B26" s="666" t="s">
        <v>779</v>
      </c>
      <c r="C26" s="667" t="s">
        <v>780</v>
      </c>
      <c r="D26" s="668">
        <v>1</v>
      </c>
      <c r="E26" s="668">
        <v>1</v>
      </c>
      <c r="F26" s="753">
        <f>'METAS PRIORITARIAS FÍSICAS'!K25+'METAS PRIORITARIAS FÍSICAS'!K29</f>
        <v>1308085</v>
      </c>
    </row>
    <row r="27" spans="1:7" ht="15" customHeight="1">
      <c r="A27" s="731" t="s">
        <v>523</v>
      </c>
      <c r="B27" s="732" t="s">
        <v>781</v>
      </c>
      <c r="C27" s="733" t="s">
        <v>782</v>
      </c>
      <c r="D27" s="734" t="s">
        <v>85</v>
      </c>
      <c r="E27" s="734" t="s">
        <v>599</v>
      </c>
      <c r="F27" s="755">
        <f>'METAS PRIORITARIAS FÍSICAS'!K33</f>
        <v>0</v>
      </c>
      <c r="G27" s="713"/>
    </row>
    <row r="28" spans="1:6" ht="12.75">
      <c r="A28" s="669" t="s">
        <v>783</v>
      </c>
      <c r="B28" s="670" t="s">
        <v>784</v>
      </c>
      <c r="C28" s="670"/>
      <c r="D28" s="670"/>
      <c r="E28" s="670"/>
      <c r="F28" s="754">
        <v>0</v>
      </c>
    </row>
    <row r="29" spans="1:6" ht="33.75">
      <c r="A29" s="665" t="s">
        <v>640</v>
      </c>
      <c r="B29" s="666" t="s">
        <v>785</v>
      </c>
      <c r="C29" s="667" t="s">
        <v>786</v>
      </c>
      <c r="D29" s="668">
        <v>1</v>
      </c>
      <c r="E29" s="668">
        <v>1</v>
      </c>
      <c r="F29" s="753">
        <f>'METAS PRIORITARIAS FÍSICAS'!K37</f>
        <v>95000</v>
      </c>
    </row>
    <row r="30" spans="1:6" ht="12.75">
      <c r="A30" s="669" t="s">
        <v>787</v>
      </c>
      <c r="B30" s="670" t="s">
        <v>788</v>
      </c>
      <c r="C30" s="670"/>
      <c r="D30" s="670"/>
      <c r="E30" s="670"/>
      <c r="F30" s="754">
        <v>0</v>
      </c>
    </row>
    <row r="31" spans="1:6" ht="13.5" customHeight="1">
      <c r="A31" s="731" t="s">
        <v>789</v>
      </c>
      <c r="B31" s="732" t="s">
        <v>790</v>
      </c>
      <c r="C31" s="733" t="s">
        <v>791</v>
      </c>
      <c r="D31" s="734" t="s">
        <v>792</v>
      </c>
      <c r="E31" s="734" t="s">
        <v>504</v>
      </c>
      <c r="F31" s="755">
        <f>'METAS PRIORITARIAS FÍSICAS'!K41</f>
        <v>0</v>
      </c>
    </row>
    <row r="32" spans="1:6" ht="12.75">
      <c r="A32" s="669" t="s">
        <v>793</v>
      </c>
      <c r="B32" s="670" t="s">
        <v>794</v>
      </c>
      <c r="C32" s="670"/>
      <c r="D32" s="670"/>
      <c r="E32" s="670"/>
      <c r="F32" s="754">
        <v>0</v>
      </c>
    </row>
    <row r="33" spans="1:6" ht="12.75">
      <c r="A33" s="669" t="s">
        <v>795</v>
      </c>
      <c r="B33" s="670" t="s">
        <v>796</v>
      </c>
      <c r="C33" s="670"/>
      <c r="D33" s="670"/>
      <c r="E33" s="670"/>
      <c r="F33" s="754">
        <v>0</v>
      </c>
    </row>
    <row r="34" spans="1:6" ht="12.75">
      <c r="A34" s="669" t="s">
        <v>797</v>
      </c>
      <c r="B34" s="670" t="s">
        <v>798</v>
      </c>
      <c r="C34" s="670"/>
      <c r="D34" s="670"/>
      <c r="E34" s="670"/>
      <c r="F34" s="754">
        <v>0</v>
      </c>
    </row>
    <row r="35" spans="1:7" ht="12.75">
      <c r="A35" s="669" t="s">
        <v>799</v>
      </c>
      <c r="B35" s="670" t="s">
        <v>800</v>
      </c>
      <c r="C35" s="670"/>
      <c r="D35" s="670"/>
      <c r="E35" s="670"/>
      <c r="F35" s="754">
        <v>0</v>
      </c>
      <c r="G35" s="51" t="s">
        <v>1055</v>
      </c>
    </row>
    <row r="36" spans="1:6" ht="12.75">
      <c r="A36" s="669" t="s">
        <v>801</v>
      </c>
      <c r="B36" s="670" t="s">
        <v>802</v>
      </c>
      <c r="C36" s="670"/>
      <c r="D36" s="670"/>
      <c r="E36" s="670"/>
      <c r="F36" s="754">
        <v>0</v>
      </c>
    </row>
    <row r="37" spans="1:6" ht="12.75">
      <c r="A37" s="669" t="s">
        <v>803</v>
      </c>
      <c r="B37" s="670" t="s">
        <v>804</v>
      </c>
      <c r="C37" s="670"/>
      <c r="D37" s="670"/>
      <c r="E37" s="670"/>
      <c r="F37" s="754">
        <v>0</v>
      </c>
    </row>
    <row r="38" spans="1:6" ht="12.75">
      <c r="A38" s="669" t="s">
        <v>805</v>
      </c>
      <c r="B38" s="670" t="s">
        <v>806</v>
      </c>
      <c r="C38" s="670"/>
      <c r="D38" s="670"/>
      <c r="E38" s="670"/>
      <c r="F38" s="754">
        <v>0</v>
      </c>
    </row>
    <row r="39" spans="1:6" ht="22.5">
      <c r="A39" s="672" t="s">
        <v>649</v>
      </c>
      <c r="B39" s="673" t="s">
        <v>807</v>
      </c>
      <c r="C39" s="667" t="s">
        <v>808</v>
      </c>
      <c r="D39" s="674">
        <v>1</v>
      </c>
      <c r="E39" s="674">
        <v>1</v>
      </c>
      <c r="F39" s="756">
        <f>'METAS PRIORITARIAS FÍSICAS'!K45</f>
        <v>210440</v>
      </c>
    </row>
    <row r="40" spans="1:6" ht="33.75">
      <c r="A40" s="672" t="s">
        <v>656</v>
      </c>
      <c r="B40" s="673" t="s">
        <v>809</v>
      </c>
      <c r="C40" s="667" t="s">
        <v>810</v>
      </c>
      <c r="D40" s="674">
        <v>1</v>
      </c>
      <c r="E40" s="674">
        <v>1</v>
      </c>
      <c r="F40" s="756">
        <f>'METAS PRIORITARIAS FÍSICAS'!K49</f>
        <v>51500</v>
      </c>
    </row>
    <row r="41" spans="1:7" ht="33.75">
      <c r="A41" s="665" t="s">
        <v>661</v>
      </c>
      <c r="B41" s="666" t="s">
        <v>811</v>
      </c>
      <c r="C41" s="667" t="s">
        <v>812</v>
      </c>
      <c r="D41" s="668">
        <v>1</v>
      </c>
      <c r="E41" s="668">
        <v>1</v>
      </c>
      <c r="F41" s="753">
        <f>'METAS PRIORITARIAS FÍSICAS'!K53</f>
        <v>95000</v>
      </c>
      <c r="G41" s="713"/>
    </row>
    <row r="42" spans="1:6" ht="12.75">
      <c r="A42" s="669" t="s">
        <v>813</v>
      </c>
      <c r="B42" s="670" t="s">
        <v>814</v>
      </c>
      <c r="C42" s="670"/>
      <c r="D42" s="670"/>
      <c r="E42" s="670"/>
      <c r="F42" s="754">
        <v>0</v>
      </c>
    </row>
    <row r="43" spans="1:6" ht="33.75">
      <c r="A43" s="665" t="s">
        <v>666</v>
      </c>
      <c r="B43" s="666" t="s">
        <v>815</v>
      </c>
      <c r="C43" s="667" t="s">
        <v>816</v>
      </c>
      <c r="D43" s="668">
        <v>1</v>
      </c>
      <c r="E43" s="668">
        <v>1</v>
      </c>
      <c r="F43" s="753">
        <f>'METAS PRIORITARIAS FÍSICAS'!K57</f>
        <v>127207</v>
      </c>
    </row>
    <row r="44" spans="1:6" ht="12.75">
      <c r="A44" s="669" t="s">
        <v>817</v>
      </c>
      <c r="B44" s="670" t="s">
        <v>818</v>
      </c>
      <c r="C44" s="670"/>
      <c r="D44" s="670"/>
      <c r="E44" s="670"/>
      <c r="F44" s="754">
        <v>0</v>
      </c>
    </row>
    <row r="45" spans="1:6" ht="12.75">
      <c r="A45" s="669" t="s">
        <v>819</v>
      </c>
      <c r="B45" s="670" t="s">
        <v>820</v>
      </c>
      <c r="C45" s="670"/>
      <c r="D45" s="670"/>
      <c r="E45" s="670"/>
      <c r="F45" s="754">
        <v>0</v>
      </c>
    </row>
    <row r="46" spans="1:6" ht="12.75">
      <c r="A46" s="669" t="s">
        <v>821</v>
      </c>
      <c r="B46" s="670" t="s">
        <v>822</v>
      </c>
      <c r="C46" s="670"/>
      <c r="D46" s="670"/>
      <c r="E46" s="670"/>
      <c r="F46" s="754">
        <v>0</v>
      </c>
    </row>
    <row r="47" spans="1:6" ht="12.75">
      <c r="A47" s="669" t="s">
        <v>823</v>
      </c>
      <c r="B47" s="670" t="s">
        <v>824</v>
      </c>
      <c r="C47" s="670"/>
      <c r="D47" s="670"/>
      <c r="E47" s="670"/>
      <c r="F47" s="754">
        <v>0</v>
      </c>
    </row>
    <row r="48" spans="1:6" ht="12.75">
      <c r="A48" s="669" t="s">
        <v>825</v>
      </c>
      <c r="B48" s="670" t="s">
        <v>826</v>
      </c>
      <c r="C48" s="670"/>
      <c r="D48" s="670"/>
      <c r="E48" s="670"/>
      <c r="F48" s="754">
        <v>0</v>
      </c>
    </row>
    <row r="49" spans="1:6" ht="12.75">
      <c r="A49" s="669" t="s">
        <v>827</v>
      </c>
      <c r="B49" s="670" t="s">
        <v>828</v>
      </c>
      <c r="C49" s="670"/>
      <c r="D49" s="670"/>
      <c r="E49" s="670"/>
      <c r="F49" s="754">
        <v>0</v>
      </c>
    </row>
    <row r="50" spans="1:6" ht="12.75">
      <c r="A50" s="669" t="s">
        <v>829</v>
      </c>
      <c r="B50" s="670" t="s">
        <v>830</v>
      </c>
      <c r="C50" s="670"/>
      <c r="D50" s="670"/>
      <c r="E50" s="670"/>
      <c r="F50" s="754">
        <v>0</v>
      </c>
    </row>
    <row r="51" spans="1:6" ht="12.75">
      <c r="A51" s="669" t="s">
        <v>831</v>
      </c>
      <c r="B51" s="670" t="s">
        <v>832</v>
      </c>
      <c r="C51" s="670"/>
      <c r="D51" s="670"/>
      <c r="E51" s="670"/>
      <c r="F51" s="754">
        <v>0</v>
      </c>
    </row>
    <row r="52" spans="1:6" ht="12.75">
      <c r="A52" s="669" t="s">
        <v>833</v>
      </c>
      <c r="B52" s="670" t="s">
        <v>834</v>
      </c>
      <c r="C52" s="670"/>
      <c r="D52" s="670"/>
      <c r="E52" s="670"/>
      <c r="F52" s="754">
        <v>0</v>
      </c>
    </row>
    <row r="53" spans="1:6" ht="12.75">
      <c r="A53" s="669" t="s">
        <v>835</v>
      </c>
      <c r="B53" s="670" t="s">
        <v>836</v>
      </c>
      <c r="C53" s="670"/>
      <c r="D53" s="670"/>
      <c r="E53" s="670"/>
      <c r="F53" s="754">
        <v>0</v>
      </c>
    </row>
    <row r="54" spans="1:6" ht="12.75">
      <c r="A54" s="669" t="s">
        <v>837</v>
      </c>
      <c r="B54" s="670" t="s">
        <v>838</v>
      </c>
      <c r="C54" s="670"/>
      <c r="D54" s="670"/>
      <c r="E54" s="670"/>
      <c r="F54" s="754">
        <v>0</v>
      </c>
    </row>
    <row r="55" spans="1:6" ht="33.75">
      <c r="A55" s="665" t="s">
        <v>671</v>
      </c>
      <c r="B55" s="666" t="s">
        <v>839</v>
      </c>
      <c r="C55" s="667" t="s">
        <v>840</v>
      </c>
      <c r="D55" s="668">
        <v>1</v>
      </c>
      <c r="E55" s="668">
        <v>1</v>
      </c>
      <c r="F55" s="753">
        <f>'METAS PRIORITARIAS FÍSICAS'!K61</f>
        <v>700700</v>
      </c>
    </row>
    <row r="56" spans="1:6" ht="12.75">
      <c r="A56" s="669" t="s">
        <v>841</v>
      </c>
      <c r="B56" s="670" t="s">
        <v>842</v>
      </c>
      <c r="C56" s="670"/>
      <c r="D56" s="670"/>
      <c r="E56" s="670"/>
      <c r="F56" s="754">
        <v>0</v>
      </c>
    </row>
    <row r="57" spans="1:6" ht="12.75">
      <c r="A57" s="669" t="s">
        <v>843</v>
      </c>
      <c r="B57" s="670" t="s">
        <v>844</v>
      </c>
      <c r="C57" s="670"/>
      <c r="D57" s="670"/>
      <c r="E57" s="670"/>
      <c r="F57" s="754">
        <v>0</v>
      </c>
    </row>
    <row r="58" spans="1:6" ht="33.75">
      <c r="A58" s="665" t="s">
        <v>676</v>
      </c>
      <c r="B58" s="666" t="s">
        <v>845</v>
      </c>
      <c r="C58" s="667" t="s">
        <v>846</v>
      </c>
      <c r="D58" s="668">
        <v>1</v>
      </c>
      <c r="E58" s="668">
        <v>1</v>
      </c>
      <c r="F58" s="753">
        <f>'METAS PRIORITARIAS FÍSICAS'!K65</f>
        <v>79300</v>
      </c>
    </row>
    <row r="59" spans="1:6" ht="12.75">
      <c r="A59" s="669" t="s">
        <v>847</v>
      </c>
      <c r="B59" s="670" t="s">
        <v>848</v>
      </c>
      <c r="C59" s="670"/>
      <c r="D59" s="670"/>
      <c r="E59" s="670"/>
      <c r="F59" s="754">
        <v>0</v>
      </c>
    </row>
    <row r="60" spans="1:6" ht="33.75">
      <c r="A60" s="665" t="s">
        <v>681</v>
      </c>
      <c r="B60" s="666" t="s">
        <v>849</v>
      </c>
      <c r="C60" s="667" t="s">
        <v>850</v>
      </c>
      <c r="D60" s="668">
        <v>1</v>
      </c>
      <c r="E60" s="668">
        <v>1</v>
      </c>
      <c r="F60" s="753">
        <f>'METAS PRIORITARIAS FÍSICAS'!K69</f>
        <v>170000</v>
      </c>
    </row>
    <row r="61" spans="1:7" ht="33.75">
      <c r="A61" s="665" t="s">
        <v>686</v>
      </c>
      <c r="B61" s="666" t="s">
        <v>851</v>
      </c>
      <c r="C61" s="667" t="s">
        <v>852</v>
      </c>
      <c r="D61" s="668">
        <v>1</v>
      </c>
      <c r="E61" s="668">
        <v>1</v>
      </c>
      <c r="F61" s="753">
        <f>'METAS PRIORITARIAS FÍSICAS'!K73+'METAS PRIORITARIAS FÍSICAS'!K77+'METAS PRIORITARIAS FÍSICAS'!K81</f>
        <v>1694820</v>
      </c>
      <c r="G61" s="51" t="s">
        <v>1056</v>
      </c>
    </row>
    <row r="62" spans="1:6" ht="12.75">
      <c r="A62" s="669" t="s">
        <v>853</v>
      </c>
      <c r="B62" s="670" t="s">
        <v>854</v>
      </c>
      <c r="C62" s="670"/>
      <c r="D62" s="670"/>
      <c r="E62" s="670"/>
      <c r="F62" s="754">
        <v>0</v>
      </c>
    </row>
    <row r="63" spans="1:6" ht="12.75">
      <c r="A63" s="669" t="s">
        <v>855</v>
      </c>
      <c r="B63" s="670" t="s">
        <v>856</v>
      </c>
      <c r="C63" s="670"/>
      <c r="D63" s="670"/>
      <c r="E63" s="670"/>
      <c r="F63" s="754">
        <v>0</v>
      </c>
    </row>
    <row r="64" spans="1:6" ht="45">
      <c r="A64" s="665" t="s">
        <v>689</v>
      </c>
      <c r="B64" s="666" t="s">
        <v>857</v>
      </c>
      <c r="C64" s="667" t="s">
        <v>858</v>
      </c>
      <c r="D64" s="668">
        <v>1</v>
      </c>
      <c r="E64" s="668">
        <v>1</v>
      </c>
      <c r="F64" s="753">
        <f>'METAS PRIORITARIAS FÍSICAS'!K85</f>
        <v>47000</v>
      </c>
    </row>
    <row r="65" spans="1:6" ht="12.75">
      <c r="A65" s="669" t="s">
        <v>859</v>
      </c>
      <c r="B65" s="670" t="s">
        <v>860</v>
      </c>
      <c r="C65" s="670"/>
      <c r="D65" s="670"/>
      <c r="E65" s="670"/>
      <c r="F65" s="754">
        <v>0</v>
      </c>
    </row>
    <row r="66" spans="1:6" ht="12.75">
      <c r="A66" s="669" t="s">
        <v>861</v>
      </c>
      <c r="B66" s="670" t="s">
        <v>862</v>
      </c>
      <c r="C66" s="670"/>
      <c r="D66" s="670"/>
      <c r="E66" s="670"/>
      <c r="F66" s="754">
        <v>0</v>
      </c>
    </row>
    <row r="67" spans="1:6" ht="12.75">
      <c r="A67" s="669" t="s">
        <v>863</v>
      </c>
      <c r="B67" s="670" t="s">
        <v>864</v>
      </c>
      <c r="C67" s="670"/>
      <c r="D67" s="670"/>
      <c r="E67" s="670"/>
      <c r="F67" s="754">
        <v>0</v>
      </c>
    </row>
    <row r="68" spans="1:6" ht="12" customHeight="1">
      <c r="A68" s="731" t="s">
        <v>693</v>
      </c>
      <c r="B68" s="732" t="s">
        <v>865</v>
      </c>
      <c r="C68" s="733" t="s">
        <v>866</v>
      </c>
      <c r="D68" s="735" t="s">
        <v>792</v>
      </c>
      <c r="E68" s="735" t="s">
        <v>496</v>
      </c>
      <c r="F68" s="755">
        <f>-G70</f>
        <v>0</v>
      </c>
    </row>
    <row r="69" spans="1:6" ht="12.75">
      <c r="A69" s="669" t="s">
        <v>867</v>
      </c>
      <c r="B69" s="670" t="s">
        <v>868</v>
      </c>
      <c r="C69" s="670"/>
      <c r="D69" s="670"/>
      <c r="E69" s="670"/>
      <c r="F69" s="754">
        <v>0</v>
      </c>
    </row>
    <row r="70" spans="1:6" ht="12.75" customHeight="1">
      <c r="A70" s="731" t="s">
        <v>698</v>
      </c>
      <c r="B70" s="732" t="s">
        <v>869</v>
      </c>
      <c r="C70" s="733" t="s">
        <v>870</v>
      </c>
      <c r="D70" s="735" t="s">
        <v>792</v>
      </c>
      <c r="E70" s="735" t="s">
        <v>871</v>
      </c>
      <c r="F70" s="757">
        <f>'METAS PRIORITARIAS FÍSICAS'!K89</f>
        <v>0</v>
      </c>
    </row>
    <row r="71" spans="1:6" ht="12.75">
      <c r="A71" s="669" t="s">
        <v>872</v>
      </c>
      <c r="B71" s="670" t="s">
        <v>873</v>
      </c>
      <c r="C71" s="670"/>
      <c r="D71" s="670"/>
      <c r="E71" s="670"/>
      <c r="F71" s="754">
        <v>0</v>
      </c>
    </row>
    <row r="72" spans="1:6" ht="12.75">
      <c r="A72" s="669" t="s">
        <v>874</v>
      </c>
      <c r="B72" s="670" t="s">
        <v>875</v>
      </c>
      <c r="C72" s="670"/>
      <c r="D72" s="670"/>
      <c r="E72" s="670"/>
      <c r="F72" s="754">
        <v>0</v>
      </c>
    </row>
    <row r="73" spans="1:6" ht="12.75" customHeight="1">
      <c r="A73" s="731" t="s">
        <v>701</v>
      </c>
      <c r="B73" s="732" t="s">
        <v>876</v>
      </c>
      <c r="C73" s="733" t="s">
        <v>877</v>
      </c>
      <c r="D73" s="735" t="s">
        <v>792</v>
      </c>
      <c r="E73" s="735" t="s">
        <v>496</v>
      </c>
      <c r="F73" s="755">
        <f>'METAS PRIORITARIAS FÍSICAS'!K93+'METAS PRIORITARIAS FÍSICAS'!K97</f>
        <v>0</v>
      </c>
    </row>
    <row r="74" spans="1:6" ht="12.75">
      <c r="A74" s="669" t="s">
        <v>878</v>
      </c>
      <c r="B74" s="670" t="s">
        <v>879</v>
      </c>
      <c r="C74" s="670"/>
      <c r="D74" s="670"/>
      <c r="E74" s="670"/>
      <c r="F74" s="754">
        <v>0</v>
      </c>
    </row>
    <row r="75" spans="1:6" ht="12.75">
      <c r="A75" s="669" t="s">
        <v>880</v>
      </c>
      <c r="B75" s="670" t="s">
        <v>881</v>
      </c>
      <c r="C75" s="670"/>
      <c r="D75" s="670"/>
      <c r="E75" s="670"/>
      <c r="F75" s="754">
        <v>0</v>
      </c>
    </row>
    <row r="76" spans="1:6" ht="12.75">
      <c r="A76" s="669" t="s">
        <v>882</v>
      </c>
      <c r="B76" s="670" t="s">
        <v>883</v>
      </c>
      <c r="C76" s="670"/>
      <c r="D76" s="670"/>
      <c r="E76" s="670"/>
      <c r="F76" s="754">
        <v>0</v>
      </c>
    </row>
    <row r="77" spans="1:6" ht="33.75">
      <c r="A77" s="672" t="s">
        <v>707</v>
      </c>
      <c r="B77" s="673" t="s">
        <v>884</v>
      </c>
      <c r="C77" s="675" t="s">
        <v>885</v>
      </c>
      <c r="D77" s="674">
        <v>1</v>
      </c>
      <c r="E77" s="674">
        <v>1</v>
      </c>
      <c r="F77" s="756">
        <f>'METAS PRIORITARIAS FÍSICAS'!K101</f>
        <v>260000</v>
      </c>
    </row>
    <row r="78" spans="1:6" ht="12.75">
      <c r="A78" s="669" t="s">
        <v>886</v>
      </c>
      <c r="B78" s="670" t="s">
        <v>887</v>
      </c>
      <c r="C78" s="670"/>
      <c r="D78" s="670"/>
      <c r="E78" s="670"/>
      <c r="F78" s="754">
        <v>0</v>
      </c>
    </row>
    <row r="79" spans="1:6" ht="12.75">
      <c r="A79" s="669" t="s">
        <v>888</v>
      </c>
      <c r="B79" s="670" t="s">
        <v>889</v>
      </c>
      <c r="C79" s="670"/>
      <c r="D79" s="670"/>
      <c r="E79" s="670"/>
      <c r="F79" s="754">
        <v>0</v>
      </c>
    </row>
    <row r="80" spans="1:6" ht="14.25" customHeight="1">
      <c r="A80" s="731" t="s">
        <v>712</v>
      </c>
      <c r="B80" s="732" t="s">
        <v>890</v>
      </c>
      <c r="C80" s="736" t="s">
        <v>891</v>
      </c>
      <c r="D80" s="737">
        <v>0</v>
      </c>
      <c r="E80" s="737">
        <v>1</v>
      </c>
      <c r="F80" s="755"/>
    </row>
    <row r="81" spans="1:6" ht="12.75">
      <c r="A81" s="669" t="s">
        <v>892</v>
      </c>
      <c r="B81" s="670" t="s">
        <v>893</v>
      </c>
      <c r="C81" s="670"/>
      <c r="D81" s="670"/>
      <c r="E81" s="670"/>
      <c r="F81" s="754">
        <v>0</v>
      </c>
    </row>
    <row r="82" spans="1:6" ht="12.75">
      <c r="A82" s="669" t="s">
        <v>894</v>
      </c>
      <c r="B82" s="670" t="s">
        <v>895</v>
      </c>
      <c r="C82" s="671"/>
      <c r="D82" s="670"/>
      <c r="E82" s="670"/>
      <c r="F82" s="754">
        <v>0</v>
      </c>
    </row>
    <row r="83" spans="1:6" ht="60" customHeight="1">
      <c r="A83" s="672" t="s">
        <v>714</v>
      </c>
      <c r="B83" s="673" t="s">
        <v>896</v>
      </c>
      <c r="C83" s="675" t="s">
        <v>897</v>
      </c>
      <c r="D83" s="674">
        <v>1</v>
      </c>
      <c r="E83" s="674">
        <v>1</v>
      </c>
      <c r="F83" s="756">
        <f>'METAS PRIORITARIAS FÍSICAS'!K105+'METAS PRIORITARIAS FÍSICAS'!K109+'METAS PRIORITARIAS FÍSICAS'!K113+'METAS PRIORITARIAS FÍSICAS'!K117+'METAS PRIORITARIAS FÍSICAS'!K121</f>
        <v>2322129</v>
      </c>
    </row>
    <row r="84" spans="1:6" ht="12.75">
      <c r="A84" s="669" t="s">
        <v>898</v>
      </c>
      <c r="B84" s="670" t="s">
        <v>899</v>
      </c>
      <c r="C84" s="670"/>
      <c r="D84" s="670"/>
      <c r="E84" s="670"/>
      <c r="F84" s="754">
        <v>0</v>
      </c>
    </row>
    <row r="85" spans="1:6" ht="12.75">
      <c r="A85" s="669" t="s">
        <v>900</v>
      </c>
      <c r="B85" s="670" t="s">
        <v>901</v>
      </c>
      <c r="C85" s="670"/>
      <c r="D85" s="670"/>
      <c r="E85" s="670"/>
      <c r="F85" s="754">
        <v>0</v>
      </c>
    </row>
    <row r="86" spans="1:6" ht="12.75">
      <c r="A86" s="669" t="s">
        <v>902</v>
      </c>
      <c r="B86" s="670" t="s">
        <v>903</v>
      </c>
      <c r="C86" s="670"/>
      <c r="D86" s="670"/>
      <c r="E86" s="670"/>
      <c r="F86" s="754">
        <v>0</v>
      </c>
    </row>
    <row r="87" spans="1:6" ht="12.75">
      <c r="A87" s="669" t="s">
        <v>904</v>
      </c>
      <c r="B87" s="670" t="s">
        <v>905</v>
      </c>
      <c r="C87" s="670"/>
      <c r="D87" s="670"/>
      <c r="E87" s="670"/>
      <c r="F87" s="754">
        <v>0</v>
      </c>
    </row>
    <row r="88" spans="1:7" ht="12.75">
      <c r="A88" s="669" t="s">
        <v>906</v>
      </c>
      <c r="B88" s="670" t="s">
        <v>907</v>
      </c>
      <c r="C88" s="670"/>
      <c r="D88" s="670"/>
      <c r="E88" s="670"/>
      <c r="F88" s="754">
        <v>0</v>
      </c>
      <c r="G88" s="51" t="s">
        <v>1057</v>
      </c>
    </row>
    <row r="89" spans="1:6" ht="45.75" customHeight="1">
      <c r="A89" s="672" t="s">
        <v>982</v>
      </c>
      <c r="B89" s="673" t="s">
        <v>908</v>
      </c>
      <c r="C89" s="675" t="s">
        <v>909</v>
      </c>
      <c r="D89" s="674">
        <v>1</v>
      </c>
      <c r="E89" s="674">
        <v>1</v>
      </c>
      <c r="F89" s="756">
        <f>'METAS PRIORITARIAS FÍSICAS'!K125+'METAS PRIORITARIAS FÍSICAS'!K129+'METAS PRIORITARIAS FÍSICAS'!K137+'METAS PRIORITARIAS FÍSICAS'!K141</f>
        <v>1020000</v>
      </c>
    </row>
    <row r="90" spans="1:6" ht="12.75">
      <c r="A90" s="669" t="s">
        <v>910</v>
      </c>
      <c r="B90" s="670" t="s">
        <v>911</v>
      </c>
      <c r="C90" s="670"/>
      <c r="D90" s="670"/>
      <c r="E90" s="670"/>
      <c r="F90" s="754">
        <v>0</v>
      </c>
    </row>
    <row r="91" spans="1:6" ht="12.75">
      <c r="A91" s="669" t="s">
        <v>912</v>
      </c>
      <c r="B91" s="670" t="s">
        <v>913</v>
      </c>
      <c r="C91" s="670"/>
      <c r="D91" s="670"/>
      <c r="E91" s="670"/>
      <c r="F91" s="754">
        <v>0</v>
      </c>
    </row>
    <row r="92" spans="1:6" ht="12.75">
      <c r="A92" s="669" t="s">
        <v>914</v>
      </c>
      <c r="B92" s="670" t="s">
        <v>915</v>
      </c>
      <c r="C92" s="670"/>
      <c r="D92" s="670"/>
      <c r="E92" s="670"/>
      <c r="F92" s="754">
        <v>0</v>
      </c>
    </row>
    <row r="93" spans="1:6" ht="12.75">
      <c r="A93" s="669" t="s">
        <v>916</v>
      </c>
      <c r="B93" s="670" t="s">
        <v>917</v>
      </c>
      <c r="C93" s="670"/>
      <c r="D93" s="670"/>
      <c r="E93" s="670"/>
      <c r="F93" s="754">
        <v>0</v>
      </c>
    </row>
    <row r="94" spans="1:6" ht="12.75">
      <c r="A94" s="669" t="s">
        <v>918</v>
      </c>
      <c r="B94" s="670" t="s">
        <v>919</v>
      </c>
      <c r="C94" s="670"/>
      <c r="D94" s="670"/>
      <c r="E94" s="670"/>
      <c r="F94" s="754">
        <v>0</v>
      </c>
    </row>
    <row r="95" spans="1:6" ht="12.75">
      <c r="A95" s="669" t="s">
        <v>920</v>
      </c>
      <c r="B95" s="670" t="s">
        <v>921</v>
      </c>
      <c r="C95" s="670"/>
      <c r="D95" s="670"/>
      <c r="E95" s="670"/>
      <c r="F95" s="754">
        <v>0</v>
      </c>
    </row>
    <row r="96" spans="1:6" ht="12.75">
      <c r="A96" s="669" t="s">
        <v>922</v>
      </c>
      <c r="B96" s="670" t="s">
        <v>923</v>
      </c>
      <c r="C96" s="670"/>
      <c r="D96" s="670"/>
      <c r="E96" s="670"/>
      <c r="F96" s="754">
        <v>0</v>
      </c>
    </row>
    <row r="97" spans="1:6" ht="12.75">
      <c r="A97" s="669" t="s">
        <v>924</v>
      </c>
      <c r="B97" s="670" t="s">
        <v>925</v>
      </c>
      <c r="C97" s="670"/>
      <c r="D97" s="670"/>
      <c r="E97" s="670"/>
      <c r="F97" s="754">
        <v>0</v>
      </c>
    </row>
    <row r="98" spans="1:6" ht="12.75">
      <c r="A98" s="669" t="s">
        <v>926</v>
      </c>
      <c r="B98" s="670" t="s">
        <v>927</v>
      </c>
      <c r="C98" s="670"/>
      <c r="D98" s="670"/>
      <c r="E98" s="670"/>
      <c r="F98" s="754">
        <v>0</v>
      </c>
    </row>
    <row r="99" spans="1:6" ht="12.75">
      <c r="A99" s="669" t="s">
        <v>928</v>
      </c>
      <c r="B99" s="670" t="s">
        <v>929</v>
      </c>
      <c r="C99" s="670"/>
      <c r="D99" s="670"/>
      <c r="E99" s="670"/>
      <c r="F99" s="754">
        <v>0</v>
      </c>
    </row>
    <row r="100" spans="1:6" ht="12.75">
      <c r="A100" s="669" t="s">
        <v>930</v>
      </c>
      <c r="B100" s="670" t="s">
        <v>931</v>
      </c>
      <c r="C100" s="670"/>
      <c r="D100" s="670"/>
      <c r="E100" s="670"/>
      <c r="F100" s="754">
        <v>0</v>
      </c>
    </row>
    <row r="101" spans="1:6" ht="12.75">
      <c r="A101" s="669" t="s">
        <v>932</v>
      </c>
      <c r="B101" s="670" t="s">
        <v>933</v>
      </c>
      <c r="C101" s="670"/>
      <c r="D101" s="670"/>
      <c r="E101" s="670"/>
      <c r="F101" s="754">
        <v>0</v>
      </c>
    </row>
    <row r="102" spans="1:6" ht="12.75">
      <c r="A102" s="669" t="s">
        <v>934</v>
      </c>
      <c r="B102" s="670" t="s">
        <v>935</v>
      </c>
      <c r="C102" s="670"/>
      <c r="D102" s="670"/>
      <c r="E102" s="670"/>
      <c r="F102" s="754">
        <v>0</v>
      </c>
    </row>
    <row r="103" spans="1:6" ht="12.75">
      <c r="A103" s="669" t="s">
        <v>936</v>
      </c>
      <c r="B103" s="670" t="s">
        <v>937</v>
      </c>
      <c r="C103" s="670"/>
      <c r="D103" s="670"/>
      <c r="E103" s="670"/>
      <c r="F103" s="754">
        <v>0</v>
      </c>
    </row>
    <row r="104" spans="1:6" ht="12.75">
      <c r="A104" s="669" t="s">
        <v>938</v>
      </c>
      <c r="B104" s="670" t="s">
        <v>939</v>
      </c>
      <c r="C104" s="670"/>
      <c r="D104" s="670"/>
      <c r="E104" s="670"/>
      <c r="F104" s="754">
        <v>0</v>
      </c>
    </row>
    <row r="105" spans="1:6" ht="12.75">
      <c r="A105" s="669" t="s">
        <v>940</v>
      </c>
      <c r="B105" s="670" t="s">
        <v>941</v>
      </c>
      <c r="C105" s="670"/>
      <c r="D105" s="670"/>
      <c r="E105" s="670"/>
      <c r="F105" s="754">
        <v>0</v>
      </c>
    </row>
    <row r="106" spans="1:6" ht="11.25" customHeight="1">
      <c r="A106" s="731" t="s">
        <v>993</v>
      </c>
      <c r="B106" s="732" t="s">
        <v>942</v>
      </c>
      <c r="C106" s="736" t="s">
        <v>943</v>
      </c>
      <c r="D106" s="735" t="s">
        <v>792</v>
      </c>
      <c r="E106" s="735" t="s">
        <v>496</v>
      </c>
      <c r="F106" s="755">
        <f>'METAS PRIORITARIAS FÍSICAS'!K145</f>
        <v>0</v>
      </c>
    </row>
    <row r="107" spans="1:6" ht="12.75">
      <c r="A107" s="669" t="s">
        <v>944</v>
      </c>
      <c r="B107" s="670" t="s">
        <v>945</v>
      </c>
      <c r="C107" s="670"/>
      <c r="D107" s="670"/>
      <c r="E107" s="670"/>
      <c r="F107" s="754">
        <v>0</v>
      </c>
    </row>
    <row r="108" spans="1:6" ht="56.25">
      <c r="A108" s="672" t="s">
        <v>998</v>
      </c>
      <c r="B108" s="673" t="s">
        <v>946</v>
      </c>
      <c r="C108" s="675" t="s">
        <v>947</v>
      </c>
      <c r="D108" s="674">
        <v>0</v>
      </c>
      <c r="E108" s="674">
        <v>1</v>
      </c>
      <c r="F108" s="756">
        <f>'METAS PRIORITARIAS FÍSICAS'!K149</f>
        <v>15000</v>
      </c>
    </row>
    <row r="109" spans="1:6" ht="12.75">
      <c r="A109" s="669" t="s">
        <v>948</v>
      </c>
      <c r="B109" s="670" t="s">
        <v>949</v>
      </c>
      <c r="C109" s="670"/>
      <c r="D109" s="670"/>
      <c r="E109" s="670"/>
      <c r="F109" s="754">
        <v>0</v>
      </c>
    </row>
    <row r="110" spans="1:6" ht="12.75">
      <c r="A110" s="669" t="s">
        <v>950</v>
      </c>
      <c r="B110" s="670" t="s">
        <v>951</v>
      </c>
      <c r="C110" s="670"/>
      <c r="D110" s="670"/>
      <c r="E110" s="670"/>
      <c r="F110" s="754">
        <v>0</v>
      </c>
    </row>
    <row r="111" spans="1:6" ht="12" customHeight="1">
      <c r="A111" s="731" t="s">
        <v>1003</v>
      </c>
      <c r="B111" s="732" t="s">
        <v>952</v>
      </c>
      <c r="C111" s="736" t="s">
        <v>953</v>
      </c>
      <c r="D111" s="735" t="s">
        <v>792</v>
      </c>
      <c r="E111" s="735" t="s">
        <v>954</v>
      </c>
      <c r="F111" s="755">
        <f>'METAS PRIORITARIAS FÍSICAS'!K153</f>
        <v>0</v>
      </c>
    </row>
    <row r="112" spans="1:6" ht="12.75">
      <c r="A112" s="669" t="s">
        <v>955</v>
      </c>
      <c r="B112" s="670" t="s">
        <v>956</v>
      </c>
      <c r="C112" s="670"/>
      <c r="D112" s="670"/>
      <c r="E112" s="670"/>
      <c r="F112" s="754">
        <v>0</v>
      </c>
    </row>
    <row r="113" spans="1:6" ht="12.75">
      <c r="A113" s="669" t="s">
        <v>957</v>
      </c>
      <c r="B113" s="670" t="s">
        <v>958</v>
      </c>
      <c r="C113" s="670"/>
      <c r="D113" s="670"/>
      <c r="E113" s="670"/>
      <c r="F113" s="754">
        <v>0</v>
      </c>
    </row>
    <row r="114" spans="1:6" ht="12.75">
      <c r="A114" s="669" t="s">
        <v>959</v>
      </c>
      <c r="B114" s="670" t="s">
        <v>960</v>
      </c>
      <c r="C114" s="670" t="s">
        <v>961</v>
      </c>
      <c r="D114" s="670"/>
      <c r="E114" s="670"/>
      <c r="F114" s="754">
        <v>0</v>
      </c>
    </row>
    <row r="115" spans="1:6" ht="12.75">
      <c r="A115" s="669" t="s">
        <v>962</v>
      </c>
      <c r="B115" s="670" t="s">
        <v>963</v>
      </c>
      <c r="C115" s="670" t="s">
        <v>964</v>
      </c>
      <c r="D115" s="670"/>
      <c r="E115" s="670"/>
      <c r="F115" s="754">
        <v>0</v>
      </c>
    </row>
    <row r="116" spans="1:6" ht="12.75">
      <c r="A116" s="669" t="s">
        <v>965</v>
      </c>
      <c r="B116" s="670" t="s">
        <v>966</v>
      </c>
      <c r="C116" s="670"/>
      <c r="D116" s="670"/>
      <c r="E116" s="670"/>
      <c r="F116" s="754">
        <v>0</v>
      </c>
    </row>
    <row r="117" spans="1:7" ht="33.75">
      <c r="A117" s="672" t="s">
        <v>1009</v>
      </c>
      <c r="B117" s="673" t="s">
        <v>1011</v>
      </c>
      <c r="C117" s="675" t="s">
        <v>967</v>
      </c>
      <c r="D117" s="674">
        <v>1</v>
      </c>
      <c r="E117" s="674">
        <v>1</v>
      </c>
      <c r="F117" s="756">
        <f>'METAS PRIORITARIAS FÍSICAS'!K157</f>
        <v>81000</v>
      </c>
      <c r="G117" s="51" t="s">
        <v>1058</v>
      </c>
    </row>
    <row r="118" spans="1:6" ht="33.75">
      <c r="A118" s="672" t="s">
        <v>1012</v>
      </c>
      <c r="B118" s="673" t="s">
        <v>968</v>
      </c>
      <c r="C118" s="675" t="s">
        <v>969</v>
      </c>
      <c r="D118" s="674">
        <v>1</v>
      </c>
      <c r="E118" s="674">
        <v>1</v>
      </c>
      <c r="F118" s="756">
        <f>'METAS PRIORITARIAS FÍSICAS'!K161</f>
        <v>200000</v>
      </c>
    </row>
    <row r="119" spans="1:6" ht="12.75">
      <c r="A119" s="669" t="s">
        <v>970</v>
      </c>
      <c r="B119" s="670" t="s">
        <v>971</v>
      </c>
      <c r="C119" s="670"/>
      <c r="D119" s="670"/>
      <c r="E119" s="670"/>
      <c r="F119" s="754">
        <v>0</v>
      </c>
    </row>
    <row r="120" spans="1:6" ht="12.75">
      <c r="A120" s="669" t="s">
        <v>972</v>
      </c>
      <c r="B120" s="670" t="s">
        <v>973</v>
      </c>
      <c r="C120" s="670"/>
      <c r="D120" s="670"/>
      <c r="E120" s="670"/>
      <c r="F120" s="754">
        <v>0</v>
      </c>
    </row>
    <row r="121" spans="1:6" ht="45">
      <c r="A121" s="665" t="s">
        <v>1015</v>
      </c>
      <c r="B121" s="666" t="s">
        <v>974</v>
      </c>
      <c r="C121" s="675" t="s">
        <v>975</v>
      </c>
      <c r="D121" s="668">
        <v>1</v>
      </c>
      <c r="E121" s="668">
        <v>1</v>
      </c>
      <c r="F121" s="753">
        <f>'METAS PRIORITARIAS FÍSICAS'!K165+'METAS PRIORITARIAS FÍSICAS'!K169</f>
        <v>1927100</v>
      </c>
    </row>
    <row r="122" spans="1:6" ht="12.75">
      <c r="A122" s="669" t="s">
        <v>976</v>
      </c>
      <c r="B122" s="670" t="s">
        <v>977</v>
      </c>
      <c r="C122" s="670"/>
      <c r="D122" s="670"/>
      <c r="E122" s="670"/>
      <c r="F122" s="754">
        <v>0</v>
      </c>
    </row>
    <row r="123" spans="1:6" ht="45">
      <c r="A123" s="665" t="s">
        <v>1021</v>
      </c>
      <c r="B123" s="666" t="s">
        <v>977</v>
      </c>
      <c r="C123" s="675" t="s">
        <v>978</v>
      </c>
      <c r="D123" s="668">
        <v>1</v>
      </c>
      <c r="E123" s="668">
        <v>1</v>
      </c>
      <c r="F123" s="753">
        <f>'METAS PRIORITARIAS FÍSICAS'!K173</f>
        <v>212307</v>
      </c>
    </row>
    <row r="124" spans="1:6" ht="12.75">
      <c r="A124" s="1265" t="s">
        <v>979</v>
      </c>
      <c r="B124" s="1266"/>
      <c r="C124" s="1267"/>
      <c r="D124" s="676"/>
      <c r="E124" s="676"/>
      <c r="F124" s="862">
        <f>F15+F24+F26+F29+F31+F39+F40+F41+F43+F55+F58+F60+F61+F64+F70+F77+F83+F89+F108+F117+F118+F121+F123</f>
        <v>12356588</v>
      </c>
    </row>
  </sheetData>
  <sheetProtection/>
  <mergeCells count="11">
    <mergeCell ref="A124:C124"/>
    <mergeCell ref="A6:G6"/>
    <mergeCell ref="A7:G7"/>
    <mergeCell ref="A8:G8"/>
    <mergeCell ref="A9:G9"/>
    <mergeCell ref="A10:G10"/>
    <mergeCell ref="A2:G2"/>
    <mergeCell ref="A3:G3"/>
    <mergeCell ref="A4:G4"/>
    <mergeCell ref="A5:G5"/>
    <mergeCell ref="A11:G11"/>
  </mergeCells>
  <printOptions/>
  <pageMargins left="0.787401575" right="0.787401575" top="0.984251969" bottom="0.984251969" header="0.492125985" footer="0.49212598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B1:AI177"/>
  <sheetViews>
    <sheetView tabSelected="1" zoomScalePageLayoutView="0" workbookViewId="0" topLeftCell="A22">
      <selection activeCell="M125" sqref="M125"/>
    </sheetView>
  </sheetViews>
  <sheetFormatPr defaultColWidth="9.140625" defaultRowHeight="12.75"/>
  <cols>
    <col min="1" max="1" width="0.42578125" style="0" customWidth="1"/>
    <col min="2" max="2" width="6.140625" style="566" customWidth="1"/>
    <col min="3" max="3" width="9.8515625" style="51" customWidth="1"/>
    <col min="4" max="4" width="5.28125" style="567" customWidth="1"/>
    <col min="5" max="5" width="9.140625" style="567" customWidth="1"/>
    <col min="6" max="6" width="47.57421875" style="567" customWidth="1"/>
    <col min="7" max="7" width="8.28125" style="0" customWidth="1"/>
    <col min="8" max="8" width="8.8515625" style="0" customWidth="1"/>
    <col min="9" max="9" width="10.00390625" style="567" bestFit="1" customWidth="1"/>
    <col min="10" max="10" width="8.8515625" style="567" customWidth="1"/>
    <col min="11" max="11" width="11.28125" style="567" customWidth="1"/>
    <col min="12" max="13" width="13.140625" style="200" customWidth="1"/>
    <col min="14" max="35" width="9.140625" style="200" customWidth="1"/>
  </cols>
  <sheetData>
    <row r="1" spans="2:21" ht="25.5" customHeight="1">
      <c r="B1" s="1275" t="s">
        <v>210</v>
      </c>
      <c r="C1" s="1276"/>
      <c r="D1" s="1276"/>
      <c r="E1" s="1276"/>
      <c r="F1" s="1276"/>
      <c r="G1" s="1276"/>
      <c r="H1" s="1276"/>
      <c r="I1" s="1276"/>
      <c r="J1" s="1277"/>
      <c r="K1" s="693" t="s">
        <v>1064</v>
      </c>
      <c r="L1" s="695"/>
      <c r="M1" s="696"/>
      <c r="N1" s="1319"/>
      <c r="O1" s="1319"/>
      <c r="P1" s="1319"/>
      <c r="Q1" s="697"/>
      <c r="R1" s="697"/>
      <c r="S1" s="698"/>
      <c r="T1" s="698"/>
      <c r="U1" s="698"/>
    </row>
    <row r="2" spans="2:21" ht="12.75" customHeight="1">
      <c r="B2" s="1295" t="s">
        <v>414</v>
      </c>
      <c r="C2" s="1296"/>
      <c r="D2" s="1296"/>
      <c r="E2" s="1296"/>
      <c r="F2" s="1296"/>
      <c r="G2" s="1296"/>
      <c r="H2" s="1296"/>
      <c r="I2" s="1296"/>
      <c r="J2" s="1296"/>
      <c r="K2" s="1297"/>
      <c r="L2" s="699"/>
      <c r="M2" s="700"/>
      <c r="N2" s="1320"/>
      <c r="O2" s="1320"/>
      <c r="P2" s="1320"/>
      <c r="Q2" s="701"/>
      <c r="R2" s="701"/>
      <c r="S2" s="702"/>
      <c r="T2" s="702"/>
      <c r="U2" s="702"/>
    </row>
    <row r="3" spans="2:21" ht="13.5" customHeight="1">
      <c r="B3" s="1293" t="s">
        <v>451</v>
      </c>
      <c r="C3" s="1077"/>
      <c r="D3" s="1077"/>
      <c r="E3" s="1077"/>
      <c r="F3" s="1077"/>
      <c r="G3" s="1077"/>
      <c r="H3" s="1077"/>
      <c r="I3" s="1077"/>
      <c r="J3" s="1077"/>
      <c r="K3" s="1294"/>
      <c r="L3" s="703"/>
      <c r="M3" s="704"/>
      <c r="N3" s="705"/>
      <c r="O3" s="1321"/>
      <c r="P3" s="1321"/>
      <c r="Q3" s="701"/>
      <c r="R3" s="701"/>
      <c r="S3" s="702"/>
      <c r="T3" s="702"/>
      <c r="U3" s="702"/>
    </row>
    <row r="4" spans="2:21" ht="15" customHeight="1">
      <c r="B4" s="1291" t="s">
        <v>588</v>
      </c>
      <c r="C4" s="1094"/>
      <c r="D4" s="1094"/>
      <c r="E4" s="1094"/>
      <c r="F4" s="1094"/>
      <c r="G4" s="1094"/>
      <c r="H4" s="1094"/>
      <c r="I4" s="1094"/>
      <c r="J4" s="1094"/>
      <c r="K4" s="1292"/>
      <c r="L4" s="703"/>
      <c r="M4" s="700"/>
      <c r="N4" s="706"/>
      <c r="O4" s="1318"/>
      <c r="P4" s="1318"/>
      <c r="Q4" s="701"/>
      <c r="R4" s="707"/>
      <c r="S4" s="708"/>
      <c r="T4" s="708"/>
      <c r="U4" s="708"/>
    </row>
    <row r="5" spans="2:21" ht="18.75" customHeight="1">
      <c r="B5" s="1290" t="s">
        <v>1081</v>
      </c>
      <c r="C5" s="1290"/>
      <c r="D5" s="1290"/>
      <c r="E5" s="1290"/>
      <c r="F5" s="1290"/>
      <c r="G5" s="1290"/>
      <c r="H5" s="1290"/>
      <c r="I5" s="1290"/>
      <c r="J5" s="1290"/>
      <c r="K5" s="1290"/>
      <c r="L5" s="695"/>
      <c r="M5" s="696"/>
      <c r="N5" s="1319"/>
      <c r="O5" s="1319"/>
      <c r="P5" s="1319"/>
      <c r="Q5" s="697"/>
      <c r="R5" s="697"/>
      <c r="S5" s="698"/>
      <c r="T5" s="698"/>
      <c r="U5" s="698"/>
    </row>
    <row r="6" spans="2:21" ht="18.75" customHeight="1">
      <c r="B6" s="1280" t="str">
        <f>'TAB. P - PARÂMETROS'!B8</f>
        <v>ANEXO do Projeto de Lei n°. 051/2015 </v>
      </c>
      <c r="C6" s="1281"/>
      <c r="D6" s="1281"/>
      <c r="E6" s="1281"/>
      <c r="F6" s="1281"/>
      <c r="G6" s="1281"/>
      <c r="H6" s="1281"/>
      <c r="I6" s="1281"/>
      <c r="J6" s="1281"/>
      <c r="K6" s="1282"/>
      <c r="L6" s="699"/>
      <c r="M6" s="700"/>
      <c r="N6" s="709"/>
      <c r="O6" s="709"/>
      <c r="P6" s="709"/>
      <c r="Q6" s="701"/>
      <c r="R6" s="701"/>
      <c r="S6" s="702"/>
      <c r="T6" s="702"/>
      <c r="U6" s="702"/>
    </row>
    <row r="7" spans="2:21" ht="22.5" customHeight="1">
      <c r="B7" s="1283" t="s">
        <v>485</v>
      </c>
      <c r="C7" s="1284"/>
      <c r="D7" s="1284"/>
      <c r="E7" s="1284"/>
      <c r="F7" s="506"/>
      <c r="G7" s="507"/>
      <c r="H7" s="507"/>
      <c r="I7" s="1285" t="s">
        <v>1164</v>
      </c>
      <c r="J7" s="1286"/>
      <c r="K7" s="1287"/>
      <c r="L7" s="703"/>
      <c r="M7" s="704"/>
      <c r="N7" s="705"/>
      <c r="O7" s="1321"/>
      <c r="P7" s="1321"/>
      <c r="Q7" s="701"/>
      <c r="R7" s="701"/>
      <c r="S7" s="702"/>
      <c r="T7" s="702"/>
      <c r="U7" s="702"/>
    </row>
    <row r="8" spans="2:21" ht="39" customHeight="1">
      <c r="B8" s="1288" t="s">
        <v>486</v>
      </c>
      <c r="C8" s="1289"/>
      <c r="D8" s="1289"/>
      <c r="E8" s="1289"/>
      <c r="F8" s="508"/>
      <c r="G8" s="1278" t="s">
        <v>1032</v>
      </c>
      <c r="H8" s="1279"/>
      <c r="I8" s="681" t="s">
        <v>1030</v>
      </c>
      <c r="J8" s="681" t="s">
        <v>1031</v>
      </c>
      <c r="K8" s="688" t="s">
        <v>287</v>
      </c>
      <c r="L8" s="703"/>
      <c r="M8" s="700"/>
      <c r="N8" s="706"/>
      <c r="O8" s="1318"/>
      <c r="P8" s="1318"/>
      <c r="Q8" s="701"/>
      <c r="R8" s="707"/>
      <c r="S8" s="708"/>
      <c r="T8" s="708"/>
      <c r="U8" s="708"/>
    </row>
    <row r="9" spans="2:21" ht="3" customHeight="1">
      <c r="B9" s="679"/>
      <c r="C9" s="680"/>
      <c r="D9" s="1302"/>
      <c r="E9" s="1302"/>
      <c r="F9" s="1302"/>
      <c r="G9" s="510"/>
      <c r="H9" s="691"/>
      <c r="I9" s="689"/>
      <c r="J9" s="689"/>
      <c r="K9" s="690"/>
      <c r="L9" s="695"/>
      <c r="M9" s="696"/>
      <c r="N9" s="1319"/>
      <c r="O9" s="1319"/>
      <c r="P9" s="1319"/>
      <c r="Q9" s="697"/>
      <c r="R9" s="697"/>
      <c r="S9" s="698"/>
      <c r="T9" s="698"/>
      <c r="U9" s="698"/>
    </row>
    <row r="10" spans="2:21" ht="12.75" customHeight="1">
      <c r="B10" s="1303" t="s">
        <v>8</v>
      </c>
      <c r="C10" s="1305" t="s">
        <v>487</v>
      </c>
      <c r="D10" s="1305"/>
      <c r="E10" s="1305"/>
      <c r="F10" s="1305"/>
      <c r="G10" s="1305" t="s">
        <v>488</v>
      </c>
      <c r="H10" s="1298"/>
      <c r="I10" s="1300" t="e">
        <f>I13+I17+I21+I25+I29+I37+I45+I49+I53+I57+I61+I65+I69+I73+I77+I85+I93+I97+I101+I105+I109+I113+I117+#REF!+I121+I125+I129+I137+I141+I145+I149+I157+I161+I165+I173+I81+I169</f>
        <v>#REF!</v>
      </c>
      <c r="J10" s="1300" t="e">
        <f>J13+J17+J21+J25+J29+J37+J45+J49+J53+J57+J61+J65+J69+J73+J77+J85+J93+J97+J101+J105+J109+J113+J117+#REF!+J121+J125+J129+J137+J141+J145+J149+J157+J161+J165+J173+J81+J169</f>
        <v>#REF!</v>
      </c>
      <c r="K10" s="1300" t="e">
        <f>K13+K17+K21+K25+K29+K37+K45+K49+K53+K57+K61+K65+K69+K73+K77+K85+K93+K97+K101+K105+K109+K113+K117+#REF!+K121+K125+K129+K137+K141+K145+K149+K157+K161+K165+K173+K81+K169</f>
        <v>#REF!</v>
      </c>
      <c r="L10" s="699"/>
      <c r="M10" s="700"/>
      <c r="N10" s="1320"/>
      <c r="O10" s="1320"/>
      <c r="P10" s="1320"/>
      <c r="Q10" s="701"/>
      <c r="R10" s="701"/>
      <c r="S10" s="702"/>
      <c r="T10" s="702"/>
      <c r="U10" s="702"/>
    </row>
    <row r="11" spans="2:21" ht="26.25" customHeight="1" thickBot="1">
      <c r="B11" s="1304"/>
      <c r="C11" s="1306"/>
      <c r="D11" s="1306"/>
      <c r="E11" s="1306"/>
      <c r="F11" s="1306"/>
      <c r="G11" s="1307"/>
      <c r="H11" s="1299"/>
      <c r="I11" s="1301"/>
      <c r="J11" s="1301"/>
      <c r="K11" s="1301"/>
      <c r="L11" s="861"/>
      <c r="M11" s="704"/>
      <c r="N11" s="705"/>
      <c r="O11" s="1321"/>
      <c r="P11" s="1321"/>
      <c r="Q11" s="701"/>
      <c r="R11" s="701"/>
      <c r="S11" s="702"/>
      <c r="T11" s="702"/>
      <c r="U11" s="702"/>
    </row>
    <row r="12" spans="2:35" s="511" customFormat="1" ht="31.5" customHeight="1">
      <c r="B12" s="512" t="s">
        <v>539</v>
      </c>
      <c r="C12" s="513" t="s">
        <v>489</v>
      </c>
      <c r="D12" s="1308" t="s">
        <v>490</v>
      </c>
      <c r="E12" s="1308"/>
      <c r="F12" s="1308"/>
      <c r="G12" s="514"/>
      <c r="H12" s="514" t="s">
        <v>491</v>
      </c>
      <c r="I12" s="844"/>
      <c r="J12" s="844"/>
      <c r="K12" s="845"/>
      <c r="L12" s="861"/>
      <c r="M12" s="700"/>
      <c r="N12" s="706"/>
      <c r="O12" s="1318"/>
      <c r="P12" s="1318"/>
      <c r="Q12" s="701"/>
      <c r="R12" s="707"/>
      <c r="S12" s="708"/>
      <c r="T12" s="708"/>
      <c r="U12" s="708"/>
      <c r="V12" s="710"/>
      <c r="W12" s="710"/>
      <c r="X12" s="710"/>
      <c r="Y12" s="710"/>
      <c r="Z12" s="710"/>
      <c r="AA12" s="710"/>
      <c r="AB12" s="710"/>
      <c r="AC12" s="710"/>
      <c r="AD12" s="710"/>
      <c r="AE12" s="710"/>
      <c r="AF12" s="710"/>
      <c r="AG12" s="710"/>
      <c r="AH12" s="710"/>
      <c r="AI12" s="710"/>
    </row>
    <row r="13" spans="2:21" ht="11.25" customHeight="1">
      <c r="B13" s="515" t="s">
        <v>492</v>
      </c>
      <c r="C13" s="516" t="s">
        <v>493</v>
      </c>
      <c r="D13" s="1309" t="s">
        <v>1033</v>
      </c>
      <c r="E13" s="1309"/>
      <c r="F13" s="1309"/>
      <c r="G13" s="517" t="s">
        <v>549</v>
      </c>
      <c r="H13" s="517" t="s">
        <v>494</v>
      </c>
      <c r="I13" s="518">
        <v>380000</v>
      </c>
      <c r="J13" s="840">
        <v>0</v>
      </c>
      <c r="K13" s="686">
        <f>I13+J13</f>
        <v>380000</v>
      </c>
      <c r="L13" s="695"/>
      <c r="M13" s="696"/>
      <c r="N13" s="1319"/>
      <c r="O13" s="1319"/>
      <c r="P13" s="1319"/>
      <c r="Q13" s="697"/>
      <c r="R13" s="697"/>
      <c r="S13" s="698"/>
      <c r="T13" s="698"/>
      <c r="U13" s="698"/>
    </row>
    <row r="14" spans="2:21" ht="11.25" customHeight="1">
      <c r="B14" s="519"/>
      <c r="C14" s="520" t="s">
        <v>495</v>
      </c>
      <c r="D14" s="521" t="s">
        <v>496</v>
      </c>
      <c r="E14" s="1310" t="s">
        <v>497</v>
      </c>
      <c r="F14" s="1310"/>
      <c r="G14" s="517"/>
      <c r="H14" s="517"/>
      <c r="I14" s="518"/>
      <c r="J14" s="518"/>
      <c r="K14" s="686"/>
      <c r="L14" s="699"/>
      <c r="M14" s="700"/>
      <c r="N14" s="709"/>
      <c r="O14" s="709"/>
      <c r="P14" s="709"/>
      <c r="Q14" s="701"/>
      <c r="R14" s="701"/>
      <c r="S14" s="702"/>
      <c r="T14" s="702"/>
      <c r="U14" s="702"/>
    </row>
    <row r="15" spans="2:21" ht="11.25" customHeight="1" thickBot="1">
      <c r="B15" s="522"/>
      <c r="C15" s="523" t="s">
        <v>498</v>
      </c>
      <c r="D15" s="524" t="s">
        <v>499</v>
      </c>
      <c r="E15" s="1311" t="s">
        <v>500</v>
      </c>
      <c r="F15" s="1311"/>
      <c r="G15" s="525"/>
      <c r="H15" s="526"/>
      <c r="I15" s="527"/>
      <c r="J15" s="527"/>
      <c r="K15" s="846"/>
      <c r="L15" s="703"/>
      <c r="M15" s="704"/>
      <c r="N15" s="705"/>
      <c r="O15" s="1321"/>
      <c r="P15" s="1321"/>
      <c r="Q15" s="701"/>
      <c r="R15" s="701"/>
      <c r="S15" s="702"/>
      <c r="T15" s="702"/>
      <c r="U15" s="702"/>
    </row>
    <row r="16" spans="2:35" s="511" customFormat="1" ht="28.5" customHeight="1">
      <c r="B16" s="512" t="s">
        <v>539</v>
      </c>
      <c r="C16" s="513" t="s">
        <v>489</v>
      </c>
      <c r="D16" s="1308" t="s">
        <v>501</v>
      </c>
      <c r="E16" s="1308"/>
      <c r="F16" s="1308"/>
      <c r="G16" s="514"/>
      <c r="H16" s="514" t="s">
        <v>491</v>
      </c>
      <c r="I16" s="844"/>
      <c r="J16" s="844"/>
      <c r="K16" s="845"/>
      <c r="L16" s="703"/>
      <c r="M16" s="700"/>
      <c r="N16" s="706"/>
      <c r="O16" s="1318"/>
      <c r="P16" s="1318"/>
      <c r="Q16" s="701"/>
      <c r="R16" s="707"/>
      <c r="S16" s="708"/>
      <c r="T16" s="708"/>
      <c r="U16" s="708"/>
      <c r="V16" s="710"/>
      <c r="W16" s="710"/>
      <c r="X16" s="710"/>
      <c r="Y16" s="710"/>
      <c r="Z16" s="710"/>
      <c r="AA16" s="710"/>
      <c r="AB16" s="710"/>
      <c r="AC16" s="710"/>
      <c r="AD16" s="710"/>
      <c r="AE16" s="710"/>
      <c r="AF16" s="710"/>
      <c r="AG16" s="710"/>
      <c r="AH16" s="710"/>
      <c r="AI16" s="710"/>
    </row>
    <row r="17" spans="2:21" ht="11.25" customHeight="1">
      <c r="B17" s="515" t="s">
        <v>502</v>
      </c>
      <c r="C17" s="516" t="s">
        <v>493</v>
      </c>
      <c r="D17" s="1309" t="s">
        <v>503</v>
      </c>
      <c r="E17" s="1309"/>
      <c r="F17" s="1309"/>
      <c r="G17" s="517" t="s">
        <v>549</v>
      </c>
      <c r="H17" s="517" t="s">
        <v>494</v>
      </c>
      <c r="I17" s="518">
        <v>380000</v>
      </c>
      <c r="J17" s="840">
        <v>0</v>
      </c>
      <c r="K17" s="686">
        <f>I17+J17</f>
        <v>380000</v>
      </c>
      <c r="L17" s="695"/>
      <c r="M17" s="696"/>
      <c r="N17" s="1319"/>
      <c r="O17" s="1319"/>
      <c r="P17" s="1319"/>
      <c r="Q17" s="697"/>
      <c r="R17" s="697"/>
      <c r="S17" s="698"/>
      <c r="T17" s="698"/>
      <c r="U17" s="698"/>
    </row>
    <row r="18" spans="2:21" ht="11.25" customHeight="1">
      <c r="B18" s="519"/>
      <c r="C18" s="520" t="s">
        <v>495</v>
      </c>
      <c r="D18" s="521" t="s">
        <v>504</v>
      </c>
      <c r="E18" s="1310" t="s">
        <v>505</v>
      </c>
      <c r="F18" s="1310"/>
      <c r="G18" s="517"/>
      <c r="H18" s="517"/>
      <c r="I18" s="518"/>
      <c r="J18" s="518"/>
      <c r="K18" s="686"/>
      <c r="L18" s="699"/>
      <c r="M18" s="700"/>
      <c r="N18" s="1320"/>
      <c r="O18" s="1320"/>
      <c r="P18" s="1320"/>
      <c r="Q18" s="701"/>
      <c r="R18" s="701"/>
      <c r="S18" s="702"/>
      <c r="T18" s="702"/>
      <c r="U18" s="702"/>
    </row>
    <row r="19" spans="2:21" ht="11.25" customHeight="1" thickBot="1">
      <c r="B19" s="522"/>
      <c r="C19" s="523" t="s">
        <v>498</v>
      </c>
      <c r="D19" s="524" t="s">
        <v>506</v>
      </c>
      <c r="E19" s="1311" t="s">
        <v>507</v>
      </c>
      <c r="F19" s="1311"/>
      <c r="G19" s="525"/>
      <c r="H19" s="526"/>
      <c r="I19" s="527"/>
      <c r="J19" s="527"/>
      <c r="K19" s="846"/>
      <c r="L19" s="703"/>
      <c r="M19" s="704"/>
      <c r="N19" s="705"/>
      <c r="O19" s="1321"/>
      <c r="P19" s="1321"/>
      <c r="Q19" s="701"/>
      <c r="R19" s="701"/>
      <c r="S19" s="702"/>
      <c r="T19" s="702"/>
      <c r="U19" s="702"/>
    </row>
    <row r="20" spans="2:35" s="511" customFormat="1" ht="24.75" customHeight="1">
      <c r="B20" s="512" t="s">
        <v>539</v>
      </c>
      <c r="C20" s="513" t="s">
        <v>489</v>
      </c>
      <c r="D20" s="1308" t="s">
        <v>508</v>
      </c>
      <c r="E20" s="1308"/>
      <c r="F20" s="1308"/>
      <c r="G20" s="514"/>
      <c r="H20" s="514" t="s">
        <v>491</v>
      </c>
      <c r="I20" s="844"/>
      <c r="J20" s="844"/>
      <c r="K20" s="845"/>
      <c r="L20" s="703"/>
      <c r="M20" s="700"/>
      <c r="N20" s="706"/>
      <c r="O20" s="1318"/>
      <c r="P20" s="1318"/>
      <c r="Q20" s="701"/>
      <c r="R20" s="707"/>
      <c r="S20" s="708"/>
      <c r="T20" s="708"/>
      <c r="U20" s="708"/>
      <c r="V20" s="710"/>
      <c r="W20" s="710"/>
      <c r="X20" s="710"/>
      <c r="Y20" s="710"/>
      <c r="Z20" s="710"/>
      <c r="AA20" s="710"/>
      <c r="AB20" s="710"/>
      <c r="AC20" s="710"/>
      <c r="AD20" s="710"/>
      <c r="AE20" s="710"/>
      <c r="AF20" s="710"/>
      <c r="AG20" s="710"/>
      <c r="AH20" s="710"/>
      <c r="AI20" s="710"/>
    </row>
    <row r="21" spans="2:21" ht="11.25" customHeight="1">
      <c r="B21" s="515" t="s">
        <v>502</v>
      </c>
      <c r="C21" s="516" t="s">
        <v>493</v>
      </c>
      <c r="D21" s="1309" t="s">
        <v>509</v>
      </c>
      <c r="E21" s="1309"/>
      <c r="F21" s="1309"/>
      <c r="G21" s="517" t="s">
        <v>549</v>
      </c>
      <c r="H21" s="517" t="s">
        <v>494</v>
      </c>
      <c r="I21" s="518">
        <v>980000</v>
      </c>
      <c r="J21" s="840">
        <v>0</v>
      </c>
      <c r="K21" s="686">
        <f>I21+J21</f>
        <v>980000</v>
      </c>
      <c r="L21" s="695"/>
      <c r="M21" s="696"/>
      <c r="N21" s="1319"/>
      <c r="O21" s="1319"/>
      <c r="P21" s="1319"/>
      <c r="Q21" s="697"/>
      <c r="R21" s="697"/>
      <c r="S21" s="698"/>
      <c r="T21" s="698"/>
      <c r="U21" s="698"/>
    </row>
    <row r="22" spans="2:21" ht="11.25" customHeight="1">
      <c r="B22" s="519"/>
      <c r="C22" s="520" t="s">
        <v>495</v>
      </c>
      <c r="D22" s="521" t="s">
        <v>504</v>
      </c>
      <c r="E22" s="1310" t="s">
        <v>505</v>
      </c>
      <c r="F22" s="1310"/>
      <c r="G22" s="517"/>
      <c r="H22" s="517"/>
      <c r="I22" s="518"/>
      <c r="J22" s="518"/>
      <c r="K22" s="686"/>
      <c r="L22" s="699"/>
      <c r="M22" s="700"/>
      <c r="N22" s="1320"/>
      <c r="O22" s="1320"/>
      <c r="P22" s="1320"/>
      <c r="Q22" s="701"/>
      <c r="R22" s="701"/>
      <c r="S22" s="702"/>
      <c r="T22" s="702"/>
      <c r="U22" s="702"/>
    </row>
    <row r="23" spans="2:21" ht="11.25" customHeight="1" thickBot="1">
      <c r="B23" s="522"/>
      <c r="C23" s="523" t="s">
        <v>498</v>
      </c>
      <c r="D23" s="524" t="s">
        <v>510</v>
      </c>
      <c r="E23" s="1311" t="s">
        <v>511</v>
      </c>
      <c r="F23" s="1311"/>
      <c r="G23" s="525"/>
      <c r="H23" s="526"/>
      <c r="I23" s="527"/>
      <c r="J23" s="527"/>
      <c r="K23" s="846"/>
      <c r="L23" s="711"/>
      <c r="M23" s="704"/>
      <c r="N23" s="705"/>
      <c r="O23" s="1321"/>
      <c r="P23" s="1321"/>
      <c r="Q23" s="701"/>
      <c r="R23" s="701"/>
      <c r="S23" s="702"/>
      <c r="T23" s="702"/>
      <c r="U23" s="702"/>
    </row>
    <row r="24" spans="2:35" s="511" customFormat="1" ht="37.5" customHeight="1">
      <c r="B24" s="512" t="s">
        <v>539</v>
      </c>
      <c r="C24" s="513" t="s">
        <v>489</v>
      </c>
      <c r="D24" s="1308" t="s">
        <v>7</v>
      </c>
      <c r="E24" s="1308"/>
      <c r="F24" s="1308"/>
      <c r="G24" s="514"/>
      <c r="H24" s="514" t="s">
        <v>491</v>
      </c>
      <c r="I24" s="844"/>
      <c r="J24" s="844"/>
      <c r="K24" s="845"/>
      <c r="L24" s="711"/>
      <c r="M24" s="700"/>
      <c r="N24" s="706"/>
      <c r="O24" s="1318"/>
      <c r="P24" s="1318"/>
      <c r="Q24" s="701"/>
      <c r="R24" s="707"/>
      <c r="S24" s="708"/>
      <c r="T24" s="708"/>
      <c r="U24" s="708"/>
      <c r="V24" s="710"/>
      <c r="W24" s="710"/>
      <c r="X24" s="710"/>
      <c r="Y24" s="710"/>
      <c r="Z24" s="710"/>
      <c r="AA24" s="710"/>
      <c r="AB24" s="710"/>
      <c r="AC24" s="710"/>
      <c r="AD24" s="710"/>
      <c r="AE24" s="710"/>
      <c r="AF24" s="710"/>
      <c r="AG24" s="710"/>
      <c r="AH24" s="710"/>
      <c r="AI24" s="710"/>
    </row>
    <row r="25" spans="2:21" ht="11.25" customHeight="1">
      <c r="B25" s="515" t="s">
        <v>512</v>
      </c>
      <c r="C25" s="516" t="s">
        <v>493</v>
      </c>
      <c r="D25" s="1309" t="s">
        <v>513</v>
      </c>
      <c r="E25" s="1309"/>
      <c r="F25" s="1309"/>
      <c r="G25" s="517" t="s">
        <v>549</v>
      </c>
      <c r="H25" s="517" t="s">
        <v>494</v>
      </c>
      <c r="I25" s="518">
        <v>550000</v>
      </c>
      <c r="J25" s="840">
        <v>0</v>
      </c>
      <c r="K25" s="686">
        <f>I25+J25</f>
        <v>550000</v>
      </c>
      <c r="L25" s="695"/>
      <c r="M25" s="696"/>
      <c r="N25" s="1319"/>
      <c r="O25" s="1319"/>
      <c r="P25" s="1319"/>
      <c r="Q25" s="697"/>
      <c r="R25" s="697"/>
      <c r="S25" s="712"/>
      <c r="T25" s="712"/>
      <c r="U25" s="712"/>
    </row>
    <row r="26" spans="2:21" ht="11.25" customHeight="1">
      <c r="B26" s="519"/>
      <c r="C26" s="520" t="s">
        <v>495</v>
      </c>
      <c r="D26" s="521" t="s">
        <v>504</v>
      </c>
      <c r="E26" s="1310" t="s">
        <v>505</v>
      </c>
      <c r="F26" s="1310"/>
      <c r="G26" s="517"/>
      <c r="H26" s="517"/>
      <c r="I26" s="518"/>
      <c r="J26" s="518"/>
      <c r="K26" s="686"/>
      <c r="L26" s="699"/>
      <c r="M26" s="700"/>
      <c r="N26" s="1320"/>
      <c r="O26" s="1320"/>
      <c r="P26" s="1320"/>
      <c r="Q26" s="701"/>
      <c r="R26" s="701"/>
      <c r="S26" s="708"/>
      <c r="T26" s="708"/>
      <c r="U26" s="708"/>
    </row>
    <row r="27" spans="2:21" ht="11.25" customHeight="1" thickBot="1">
      <c r="B27" s="522"/>
      <c r="C27" s="523" t="s">
        <v>498</v>
      </c>
      <c r="D27" s="524" t="s">
        <v>514</v>
      </c>
      <c r="E27" s="1311" t="s">
        <v>515</v>
      </c>
      <c r="F27" s="1311"/>
      <c r="G27" s="525"/>
      <c r="H27" s="526"/>
      <c r="I27" s="527"/>
      <c r="J27" s="527"/>
      <c r="K27" s="846"/>
      <c r="L27" s="711"/>
      <c r="M27" s="704"/>
      <c r="N27" s="705"/>
      <c r="O27" s="1321"/>
      <c r="P27" s="1321"/>
      <c r="Q27" s="701"/>
      <c r="R27" s="707"/>
      <c r="S27" s="708"/>
      <c r="T27" s="708"/>
      <c r="U27" s="708"/>
    </row>
    <row r="28" spans="2:35" s="511" customFormat="1" ht="39" customHeight="1">
      <c r="B28" s="528" t="s">
        <v>516</v>
      </c>
      <c r="C28" s="513" t="s">
        <v>489</v>
      </c>
      <c r="D28" s="1308" t="s">
        <v>517</v>
      </c>
      <c r="E28" s="1308"/>
      <c r="F28" s="1308"/>
      <c r="G28" s="514"/>
      <c r="H28" s="514" t="s">
        <v>491</v>
      </c>
      <c r="I28" s="844"/>
      <c r="J28" s="844"/>
      <c r="K28" s="693" t="s">
        <v>1063</v>
      </c>
      <c r="L28" s="711"/>
      <c r="M28" s="700"/>
      <c r="N28" s="706"/>
      <c r="O28" s="1318"/>
      <c r="P28" s="1318"/>
      <c r="Q28" s="701"/>
      <c r="R28" s="707"/>
      <c r="S28" s="708"/>
      <c r="T28" s="708"/>
      <c r="U28" s="708"/>
      <c r="V28" s="710"/>
      <c r="W28" s="710"/>
      <c r="X28" s="710"/>
      <c r="Y28" s="710"/>
      <c r="Z28" s="710"/>
      <c r="AA28" s="710"/>
      <c r="AB28" s="710"/>
      <c r="AC28" s="710"/>
      <c r="AD28" s="710"/>
      <c r="AE28" s="710"/>
      <c r="AF28" s="710"/>
      <c r="AG28" s="710"/>
      <c r="AH28" s="710"/>
      <c r="AI28" s="710"/>
    </row>
    <row r="29" spans="2:21" ht="11.25" customHeight="1">
      <c r="B29" s="515" t="s">
        <v>512</v>
      </c>
      <c r="C29" s="516" t="s">
        <v>493</v>
      </c>
      <c r="D29" s="529" t="s">
        <v>518</v>
      </c>
      <c r="E29" s="529"/>
      <c r="F29" s="529"/>
      <c r="G29" s="517" t="s">
        <v>549</v>
      </c>
      <c r="H29" s="517" t="s">
        <v>494</v>
      </c>
      <c r="I29" s="518">
        <v>758085</v>
      </c>
      <c r="J29" s="840">
        <v>0</v>
      </c>
      <c r="K29" s="686">
        <f>I29+J29</f>
        <v>758085</v>
      </c>
      <c r="L29" s="695"/>
      <c r="M29" s="696"/>
      <c r="N29" s="1319"/>
      <c r="O29" s="1319"/>
      <c r="P29" s="1319"/>
      <c r="Q29" s="697"/>
      <c r="R29" s="697"/>
      <c r="S29" s="698"/>
      <c r="T29" s="698"/>
      <c r="U29" s="698"/>
    </row>
    <row r="30" spans="2:21" ht="11.25" customHeight="1">
      <c r="B30" s="519"/>
      <c r="C30" s="520" t="s">
        <v>495</v>
      </c>
      <c r="D30" s="521" t="s">
        <v>612</v>
      </c>
      <c r="E30" s="1310" t="s">
        <v>519</v>
      </c>
      <c r="F30" s="1310"/>
      <c r="G30" s="517"/>
      <c r="H30" s="517"/>
      <c r="I30" s="518"/>
      <c r="J30" s="518"/>
      <c r="K30" s="686"/>
      <c r="L30" s="699"/>
      <c r="M30" s="700"/>
      <c r="N30" s="1320"/>
      <c r="O30" s="1320"/>
      <c r="P30" s="1320"/>
      <c r="Q30" s="701"/>
      <c r="R30" s="701"/>
      <c r="S30" s="702"/>
      <c r="T30" s="702"/>
      <c r="U30" s="702"/>
    </row>
    <row r="31" spans="2:21" ht="11.25" customHeight="1" thickBot="1">
      <c r="B31" s="530"/>
      <c r="C31" s="531" t="s">
        <v>498</v>
      </c>
      <c r="D31" s="532" t="s">
        <v>520</v>
      </c>
      <c r="E31" s="1315" t="s">
        <v>521</v>
      </c>
      <c r="F31" s="1315"/>
      <c r="G31" s="533"/>
      <c r="H31" s="534"/>
      <c r="I31" s="535"/>
      <c r="J31" s="535"/>
      <c r="K31" s="847"/>
      <c r="L31" s="703"/>
      <c r="M31" s="704"/>
      <c r="N31" s="705"/>
      <c r="O31" s="1321"/>
      <c r="P31" s="1321"/>
      <c r="Q31" s="701"/>
      <c r="R31" s="701"/>
      <c r="S31" s="702"/>
      <c r="T31" s="702"/>
      <c r="U31" s="702"/>
    </row>
    <row r="32" spans="2:35" s="511" customFormat="1" ht="28.5" customHeight="1" hidden="1">
      <c r="B32" s="528" t="s">
        <v>516</v>
      </c>
      <c r="C32" s="513" t="s">
        <v>489</v>
      </c>
      <c r="D32" s="1308" t="s">
        <v>522</v>
      </c>
      <c r="E32" s="1308"/>
      <c r="F32" s="1308"/>
      <c r="G32" s="514"/>
      <c r="H32" s="514" t="s">
        <v>491</v>
      </c>
      <c r="I32" s="844">
        <v>4</v>
      </c>
      <c r="J32" s="844">
        <v>1</v>
      </c>
      <c r="K32" s="845">
        <v>2</v>
      </c>
      <c r="L32" s="703"/>
      <c r="M32" s="700"/>
      <c r="N32" s="706"/>
      <c r="O32" s="1325"/>
      <c r="P32" s="1325"/>
      <c r="Q32" s="701"/>
      <c r="R32" s="707"/>
      <c r="S32" s="708"/>
      <c r="T32" s="708"/>
      <c r="U32" s="708"/>
      <c r="V32" s="710"/>
      <c r="W32" s="710"/>
      <c r="X32" s="710"/>
      <c r="Y32" s="710"/>
      <c r="Z32" s="710"/>
      <c r="AA32" s="710"/>
      <c r="AB32" s="710"/>
      <c r="AC32" s="710"/>
      <c r="AD32" s="710"/>
      <c r="AE32" s="710"/>
      <c r="AF32" s="710"/>
      <c r="AG32" s="710"/>
      <c r="AH32" s="710"/>
      <c r="AI32" s="710"/>
    </row>
    <row r="33" spans="2:21" ht="109.5" customHeight="1" hidden="1">
      <c r="B33" s="515" t="s">
        <v>523</v>
      </c>
      <c r="C33" s="516" t="s">
        <v>493</v>
      </c>
      <c r="D33" s="1312" t="s">
        <v>1051</v>
      </c>
      <c r="E33" s="1313"/>
      <c r="F33" s="1314"/>
      <c r="G33" s="517" t="s">
        <v>634</v>
      </c>
      <c r="H33" s="517" t="s">
        <v>494</v>
      </c>
      <c r="I33" s="518">
        <v>0</v>
      </c>
      <c r="J33" s="518">
        <v>0</v>
      </c>
      <c r="K33" s="686">
        <f>I33+J33</f>
        <v>0</v>
      </c>
      <c r="L33" s="695"/>
      <c r="M33" s="696"/>
      <c r="N33" s="1319"/>
      <c r="O33" s="1319"/>
      <c r="P33" s="1319"/>
      <c r="Q33" s="697"/>
      <c r="R33" s="697"/>
      <c r="S33" s="698"/>
      <c r="T33" s="698"/>
      <c r="U33" s="698"/>
    </row>
    <row r="34" spans="2:21" ht="11.25" customHeight="1" hidden="1">
      <c r="B34" s="519"/>
      <c r="C34" s="520" t="s">
        <v>495</v>
      </c>
      <c r="D34" s="521" t="s">
        <v>635</v>
      </c>
      <c r="E34" s="1310" t="s">
        <v>636</v>
      </c>
      <c r="F34" s="1310"/>
      <c r="G34" s="517"/>
      <c r="H34" s="517"/>
      <c r="I34" s="518"/>
      <c r="J34" s="518"/>
      <c r="K34" s="686"/>
      <c r="L34" s="699"/>
      <c r="M34" s="700"/>
      <c r="N34" s="1320"/>
      <c r="O34" s="1320"/>
      <c r="P34" s="1320"/>
      <c r="Q34" s="701"/>
      <c r="R34" s="701"/>
      <c r="S34" s="702"/>
      <c r="T34" s="702"/>
      <c r="U34" s="702"/>
    </row>
    <row r="35" spans="2:21" ht="11.25" customHeight="1" hidden="1" thickBot="1">
      <c r="B35" s="522"/>
      <c r="C35" s="523" t="s">
        <v>498</v>
      </c>
      <c r="D35" s="524" t="s">
        <v>637</v>
      </c>
      <c r="E35" s="1311" t="s">
        <v>638</v>
      </c>
      <c r="F35" s="1311"/>
      <c r="G35" s="525"/>
      <c r="H35" s="526"/>
      <c r="I35" s="527"/>
      <c r="J35" s="527"/>
      <c r="K35" s="846"/>
      <c r="L35" s="703"/>
      <c r="M35" s="704"/>
      <c r="N35" s="705"/>
      <c r="O35" s="1321"/>
      <c r="P35" s="1321"/>
      <c r="Q35" s="701"/>
      <c r="R35" s="701"/>
      <c r="S35" s="702"/>
      <c r="T35" s="702"/>
      <c r="U35" s="702"/>
    </row>
    <row r="36" spans="2:35" s="511" customFormat="1" ht="21.75" customHeight="1">
      <c r="B36" s="512" t="s">
        <v>539</v>
      </c>
      <c r="C36" s="513" t="s">
        <v>489</v>
      </c>
      <c r="D36" s="1308" t="s">
        <v>639</v>
      </c>
      <c r="E36" s="1308"/>
      <c r="F36" s="1308"/>
      <c r="G36" s="514"/>
      <c r="H36" s="514" t="s">
        <v>491</v>
      </c>
      <c r="I36" s="844"/>
      <c r="J36" s="844"/>
      <c r="K36" s="845"/>
      <c r="L36" s="703"/>
      <c r="M36" s="700"/>
      <c r="N36" s="706"/>
      <c r="O36" s="1318"/>
      <c r="P36" s="1318"/>
      <c r="Q36" s="701"/>
      <c r="R36" s="707"/>
      <c r="S36" s="708"/>
      <c r="T36" s="708"/>
      <c r="U36" s="708"/>
      <c r="V36" s="710"/>
      <c r="W36" s="710"/>
      <c r="X36" s="710"/>
      <c r="Y36" s="710"/>
      <c r="Z36" s="710"/>
      <c r="AA36" s="710"/>
      <c r="AB36" s="710"/>
      <c r="AC36" s="710"/>
      <c r="AD36" s="710"/>
      <c r="AE36" s="710"/>
      <c r="AF36" s="710"/>
      <c r="AG36" s="710"/>
      <c r="AH36" s="710"/>
      <c r="AI36" s="710"/>
    </row>
    <row r="37" spans="2:21" ht="11.25" customHeight="1">
      <c r="B37" s="515" t="s">
        <v>640</v>
      </c>
      <c r="C37" s="516" t="s">
        <v>493</v>
      </c>
      <c r="D37" s="1309" t="s">
        <v>641</v>
      </c>
      <c r="E37" s="1309"/>
      <c r="F37" s="1309"/>
      <c r="G37" s="517" t="s">
        <v>549</v>
      </c>
      <c r="H37" s="517" t="s">
        <v>494</v>
      </c>
      <c r="I37" s="518">
        <v>95000</v>
      </c>
      <c r="J37" s="840">
        <v>0</v>
      </c>
      <c r="K37" s="686">
        <f>I37+J37</f>
        <v>95000</v>
      </c>
      <c r="L37" s="695"/>
      <c r="M37" s="696"/>
      <c r="N37" s="1319"/>
      <c r="O37" s="1319"/>
      <c r="P37" s="1319"/>
      <c r="Q37" s="697"/>
      <c r="R37" s="697"/>
      <c r="S37" s="698"/>
      <c r="T37" s="698"/>
      <c r="U37" s="698"/>
    </row>
    <row r="38" spans="2:21" ht="11.25" customHeight="1">
      <c r="B38" s="519"/>
      <c r="C38" s="520" t="s">
        <v>495</v>
      </c>
      <c r="D38" s="521" t="s">
        <v>504</v>
      </c>
      <c r="E38" s="1310" t="s">
        <v>505</v>
      </c>
      <c r="F38" s="1310"/>
      <c r="G38" s="517"/>
      <c r="H38" s="517"/>
      <c r="I38" s="518"/>
      <c r="J38" s="518"/>
      <c r="K38" s="686"/>
      <c r="L38" s="699"/>
      <c r="M38" s="700"/>
      <c r="N38" s="1320"/>
      <c r="O38" s="1320"/>
      <c r="P38" s="1320"/>
      <c r="Q38" s="701"/>
      <c r="R38" s="701"/>
      <c r="S38" s="702"/>
      <c r="T38" s="702"/>
      <c r="U38" s="702"/>
    </row>
    <row r="39" spans="2:21" ht="11.25" customHeight="1" thickBot="1">
      <c r="B39" s="522"/>
      <c r="C39" s="523" t="s">
        <v>498</v>
      </c>
      <c r="D39" s="524" t="s">
        <v>642</v>
      </c>
      <c r="E39" s="1311" t="s">
        <v>643</v>
      </c>
      <c r="F39" s="1311"/>
      <c r="G39" s="525"/>
      <c r="H39" s="526"/>
      <c r="I39" s="527"/>
      <c r="J39" s="527"/>
      <c r="K39" s="846"/>
      <c r="L39" s="703"/>
      <c r="M39" s="704"/>
      <c r="N39" s="705"/>
      <c r="O39" s="1321"/>
      <c r="P39" s="1321"/>
      <c r="Q39" s="701"/>
      <c r="R39" s="701"/>
      <c r="S39" s="702"/>
      <c r="T39" s="702"/>
      <c r="U39" s="702"/>
    </row>
    <row r="40" spans="2:35" s="511" customFormat="1" ht="30.75" customHeight="1" hidden="1">
      <c r="B40" s="536" t="s">
        <v>516</v>
      </c>
      <c r="C40" s="537" t="s">
        <v>489</v>
      </c>
      <c r="D40" s="1316" t="s">
        <v>9</v>
      </c>
      <c r="E40" s="1316"/>
      <c r="F40" s="1316"/>
      <c r="G40" s="538"/>
      <c r="H40" s="538" t="s">
        <v>491</v>
      </c>
      <c r="I40" s="848"/>
      <c r="J40" s="848"/>
      <c r="K40" s="849">
        <v>2</v>
      </c>
      <c r="L40" s="703"/>
      <c r="M40" s="700"/>
      <c r="N40" s="706"/>
      <c r="O40" s="1318"/>
      <c r="P40" s="1318"/>
      <c r="Q40" s="701"/>
      <c r="R40" s="707"/>
      <c r="S40" s="708"/>
      <c r="T40" s="708"/>
      <c r="U40" s="708"/>
      <c r="V40" s="710"/>
      <c r="W40" s="710"/>
      <c r="X40" s="710"/>
      <c r="Y40" s="710"/>
      <c r="Z40" s="710"/>
      <c r="AA40" s="710"/>
      <c r="AB40" s="710"/>
      <c r="AC40" s="710"/>
      <c r="AD40" s="710"/>
      <c r="AE40" s="710"/>
      <c r="AF40" s="710"/>
      <c r="AG40" s="710"/>
      <c r="AH40" s="710"/>
      <c r="AI40" s="710"/>
    </row>
    <row r="41" spans="2:21" ht="26.25" customHeight="1" hidden="1">
      <c r="B41" s="515" t="s">
        <v>789</v>
      </c>
      <c r="C41" s="516" t="s">
        <v>493</v>
      </c>
      <c r="D41" s="1312" t="s">
        <v>6</v>
      </c>
      <c r="E41" s="1313"/>
      <c r="F41" s="1314"/>
      <c r="G41" s="517" t="s">
        <v>634</v>
      </c>
      <c r="H41" s="517" t="s">
        <v>494</v>
      </c>
      <c r="I41" s="518">
        <v>0</v>
      </c>
      <c r="J41" s="518">
        <v>0</v>
      </c>
      <c r="K41" s="686">
        <f>I41+J41</f>
        <v>0</v>
      </c>
      <c r="L41" s="695"/>
      <c r="M41" s="696"/>
      <c r="N41" s="1319"/>
      <c r="O41" s="1319"/>
      <c r="P41" s="1319"/>
      <c r="Q41" s="697"/>
      <c r="R41" s="697"/>
      <c r="S41" s="698"/>
      <c r="T41" s="698"/>
      <c r="U41" s="698"/>
    </row>
    <row r="42" spans="2:21" ht="11.25" customHeight="1" hidden="1">
      <c r="B42" s="519"/>
      <c r="C42" s="520" t="s">
        <v>495</v>
      </c>
      <c r="D42" s="521" t="s">
        <v>644</v>
      </c>
      <c r="E42" s="1310" t="s">
        <v>645</v>
      </c>
      <c r="F42" s="1310"/>
      <c r="G42" s="517"/>
      <c r="H42" s="517"/>
      <c r="I42" s="518"/>
      <c r="J42" s="518"/>
      <c r="K42" s="686"/>
      <c r="L42" s="699"/>
      <c r="M42" s="700"/>
      <c r="N42" s="1320"/>
      <c r="O42" s="1320"/>
      <c r="P42" s="1320"/>
      <c r="Q42" s="701"/>
      <c r="R42" s="701"/>
      <c r="S42" s="702"/>
      <c r="T42" s="702"/>
      <c r="U42" s="702"/>
    </row>
    <row r="43" spans="2:21" ht="11.25" customHeight="1" hidden="1" thickBot="1">
      <c r="B43" s="522"/>
      <c r="C43" s="523" t="s">
        <v>498</v>
      </c>
      <c r="D43" s="524" t="s">
        <v>646</v>
      </c>
      <c r="E43" s="1311" t="s">
        <v>647</v>
      </c>
      <c r="F43" s="1311"/>
      <c r="G43" s="525"/>
      <c r="H43" s="526"/>
      <c r="I43" s="527"/>
      <c r="J43" s="527"/>
      <c r="K43" s="846"/>
      <c r="L43" s="703"/>
      <c r="M43" s="704"/>
      <c r="N43" s="705"/>
      <c r="O43" s="1321"/>
      <c r="P43" s="1321"/>
      <c r="Q43" s="701"/>
      <c r="R43" s="701"/>
      <c r="S43" s="702"/>
      <c r="T43" s="702"/>
      <c r="U43" s="702"/>
    </row>
    <row r="44" spans="2:35" s="511" customFormat="1" ht="27.75" customHeight="1">
      <c r="B44" s="528" t="s">
        <v>539</v>
      </c>
      <c r="C44" s="513" t="s">
        <v>489</v>
      </c>
      <c r="D44" s="1308" t="s">
        <v>648</v>
      </c>
      <c r="E44" s="1308"/>
      <c r="F44" s="1308"/>
      <c r="G44" s="514"/>
      <c r="H44" s="514" t="s">
        <v>491</v>
      </c>
      <c r="I44" s="844"/>
      <c r="J44" s="844"/>
      <c r="K44" s="845"/>
      <c r="L44" s="703"/>
      <c r="M44" s="700"/>
      <c r="N44" s="706"/>
      <c r="O44" s="1318"/>
      <c r="P44" s="1318"/>
      <c r="Q44" s="701"/>
      <c r="R44" s="707"/>
      <c r="S44" s="708"/>
      <c r="T44" s="708"/>
      <c r="U44" s="708"/>
      <c r="V44" s="710"/>
      <c r="W44" s="710"/>
      <c r="X44" s="710"/>
      <c r="Y44" s="710"/>
      <c r="Z44" s="710"/>
      <c r="AA44" s="710"/>
      <c r="AB44" s="710"/>
      <c r="AC44" s="710"/>
      <c r="AD44" s="710"/>
      <c r="AE44" s="710"/>
      <c r="AF44" s="710"/>
      <c r="AG44" s="710"/>
      <c r="AH44" s="710"/>
      <c r="AI44" s="710"/>
    </row>
    <row r="45" spans="2:21" ht="11.25" customHeight="1">
      <c r="B45" s="515" t="s">
        <v>649</v>
      </c>
      <c r="C45" s="516" t="s">
        <v>493</v>
      </c>
      <c r="D45" s="1317" t="s">
        <v>650</v>
      </c>
      <c r="E45" s="1317"/>
      <c r="F45" s="1317"/>
      <c r="G45" s="517" t="s">
        <v>549</v>
      </c>
      <c r="H45" s="517" t="s">
        <v>494</v>
      </c>
      <c r="I45" s="518">
        <v>110000</v>
      </c>
      <c r="J45" s="840">
        <v>100440</v>
      </c>
      <c r="K45" s="686">
        <f>I45+J45</f>
        <v>210440</v>
      </c>
      <c r="L45" s="695"/>
      <c r="M45" s="696"/>
      <c r="N45" s="1319"/>
      <c r="O45" s="1319"/>
      <c r="P45" s="1319"/>
      <c r="Q45" s="697"/>
      <c r="R45" s="697"/>
      <c r="S45" s="698"/>
      <c r="T45" s="698"/>
      <c r="U45" s="698"/>
    </row>
    <row r="46" spans="2:21" ht="11.25" customHeight="1">
      <c r="B46" s="539"/>
      <c r="C46" s="520" t="s">
        <v>495</v>
      </c>
      <c r="D46" s="521" t="s">
        <v>651</v>
      </c>
      <c r="E46" s="1310" t="s">
        <v>652</v>
      </c>
      <c r="F46" s="1310"/>
      <c r="G46" s="517"/>
      <c r="H46" s="509"/>
      <c r="I46" s="540"/>
      <c r="J46" s="540"/>
      <c r="K46" s="850"/>
      <c r="L46" s="699"/>
      <c r="M46" s="700"/>
      <c r="N46" s="1320"/>
      <c r="O46" s="1320"/>
      <c r="P46" s="1320"/>
      <c r="Q46" s="701"/>
      <c r="R46" s="701"/>
      <c r="S46" s="702"/>
      <c r="T46" s="702"/>
      <c r="U46" s="702"/>
    </row>
    <row r="47" spans="2:21" ht="11.25" customHeight="1" thickBot="1">
      <c r="B47" s="541"/>
      <c r="C47" s="523" t="s">
        <v>498</v>
      </c>
      <c r="D47" s="524" t="s">
        <v>653</v>
      </c>
      <c r="E47" s="1311" t="s">
        <v>654</v>
      </c>
      <c r="F47" s="1311"/>
      <c r="G47" s="525"/>
      <c r="H47" s="526"/>
      <c r="I47" s="527"/>
      <c r="J47" s="527"/>
      <c r="K47" s="846"/>
      <c r="L47" s="703"/>
      <c r="M47" s="704"/>
      <c r="N47" s="705"/>
      <c r="O47" s="1321"/>
      <c r="P47" s="1321"/>
      <c r="Q47" s="701"/>
      <c r="R47" s="701"/>
      <c r="S47" s="702"/>
      <c r="T47" s="702"/>
      <c r="U47" s="702"/>
    </row>
    <row r="48" spans="2:35" s="511" customFormat="1" ht="30.75" customHeight="1">
      <c r="B48" s="528" t="s">
        <v>539</v>
      </c>
      <c r="C48" s="513" t="s">
        <v>489</v>
      </c>
      <c r="D48" s="1308" t="s">
        <v>655</v>
      </c>
      <c r="E48" s="1308"/>
      <c r="F48" s="1308"/>
      <c r="G48" s="514"/>
      <c r="H48" s="514" t="s">
        <v>491</v>
      </c>
      <c r="I48" s="844"/>
      <c r="J48" s="844"/>
      <c r="K48" s="693"/>
      <c r="L48" s="703"/>
      <c r="M48" s="700"/>
      <c r="N48" s="706"/>
      <c r="O48" s="1318"/>
      <c r="P48" s="1318"/>
      <c r="Q48" s="701"/>
      <c r="R48" s="707"/>
      <c r="S48" s="708"/>
      <c r="T48" s="708"/>
      <c r="U48" s="708"/>
      <c r="V48" s="710"/>
      <c r="W48" s="710"/>
      <c r="X48" s="710"/>
      <c r="Y48" s="710"/>
      <c r="Z48" s="710"/>
      <c r="AA48" s="710"/>
      <c r="AB48" s="710"/>
      <c r="AC48" s="710"/>
      <c r="AD48" s="710"/>
      <c r="AE48" s="710"/>
      <c r="AF48" s="710"/>
      <c r="AG48" s="710"/>
      <c r="AH48" s="710"/>
      <c r="AI48" s="710"/>
    </row>
    <row r="49" spans="2:21" ht="11.25" customHeight="1">
      <c r="B49" s="515" t="s">
        <v>656</v>
      </c>
      <c r="C49" s="516" t="s">
        <v>493</v>
      </c>
      <c r="D49" s="1317" t="s">
        <v>657</v>
      </c>
      <c r="E49" s="1317"/>
      <c r="F49" s="1317"/>
      <c r="G49" s="517" t="s">
        <v>549</v>
      </c>
      <c r="H49" s="517" t="s">
        <v>494</v>
      </c>
      <c r="I49" s="518">
        <v>50000</v>
      </c>
      <c r="J49" s="840">
        <v>1500</v>
      </c>
      <c r="K49" s="686">
        <f>I49+J49</f>
        <v>51500</v>
      </c>
      <c r="L49" s="695"/>
      <c r="M49" s="696"/>
      <c r="N49" s="1319"/>
      <c r="O49" s="1319"/>
      <c r="P49" s="1319"/>
      <c r="Q49" s="697"/>
      <c r="R49" s="697"/>
      <c r="S49" s="698"/>
      <c r="T49" s="698"/>
      <c r="U49" s="698"/>
    </row>
    <row r="50" spans="2:21" ht="11.25" customHeight="1">
      <c r="B50" s="539"/>
      <c r="C50" s="520" t="s">
        <v>495</v>
      </c>
      <c r="D50" s="521" t="s">
        <v>651</v>
      </c>
      <c r="E50" s="1310" t="s">
        <v>652</v>
      </c>
      <c r="F50" s="1310"/>
      <c r="G50" s="517"/>
      <c r="H50" s="509"/>
      <c r="I50" s="540"/>
      <c r="J50" s="540"/>
      <c r="K50" s="850"/>
      <c r="L50" s="699"/>
      <c r="M50" s="700"/>
      <c r="N50" s="709"/>
      <c r="O50" s="709"/>
      <c r="P50" s="709"/>
      <c r="Q50" s="701"/>
      <c r="R50" s="701"/>
      <c r="S50" s="702"/>
      <c r="T50" s="702"/>
      <c r="U50" s="702"/>
    </row>
    <row r="51" spans="2:21" ht="11.25" customHeight="1" thickBot="1">
      <c r="B51" s="541"/>
      <c r="C51" s="523" t="s">
        <v>498</v>
      </c>
      <c r="D51" s="524" t="s">
        <v>658</v>
      </c>
      <c r="E51" s="1311" t="s">
        <v>659</v>
      </c>
      <c r="F51" s="1311"/>
      <c r="G51" s="525"/>
      <c r="H51" s="526"/>
      <c r="I51" s="527"/>
      <c r="J51" s="527"/>
      <c r="K51" s="846"/>
      <c r="L51" s="703"/>
      <c r="M51" s="704"/>
      <c r="N51" s="705"/>
      <c r="O51" s="1321"/>
      <c r="P51" s="1321"/>
      <c r="Q51" s="701"/>
      <c r="R51" s="701"/>
      <c r="S51" s="702"/>
      <c r="T51" s="702"/>
      <c r="U51" s="702"/>
    </row>
    <row r="52" spans="2:35" s="511" customFormat="1" ht="26.25" customHeight="1">
      <c r="B52" s="536" t="s">
        <v>539</v>
      </c>
      <c r="C52" s="537" t="s">
        <v>489</v>
      </c>
      <c r="D52" s="1316" t="s">
        <v>660</v>
      </c>
      <c r="E52" s="1316"/>
      <c r="F52" s="1316"/>
      <c r="G52" s="538"/>
      <c r="H52" s="538" t="s">
        <v>491</v>
      </c>
      <c r="I52" s="848"/>
      <c r="J52" s="848"/>
      <c r="K52" s="849"/>
      <c r="L52" s="703"/>
      <c r="M52" s="700"/>
      <c r="N52" s="706"/>
      <c r="O52" s="1318"/>
      <c r="P52" s="1318"/>
      <c r="Q52" s="701"/>
      <c r="R52" s="707"/>
      <c r="S52" s="708"/>
      <c r="T52" s="708"/>
      <c r="U52" s="708"/>
      <c r="V52" s="710"/>
      <c r="W52" s="710"/>
      <c r="X52" s="710"/>
      <c r="Y52" s="710"/>
      <c r="Z52" s="710"/>
      <c r="AA52" s="710"/>
      <c r="AB52" s="710"/>
      <c r="AC52" s="710"/>
      <c r="AD52" s="710"/>
      <c r="AE52" s="710"/>
      <c r="AF52" s="710"/>
      <c r="AG52" s="710"/>
      <c r="AH52" s="710"/>
      <c r="AI52" s="710"/>
    </row>
    <row r="53" spans="2:21" ht="11.25" customHeight="1">
      <c r="B53" s="515" t="s">
        <v>661</v>
      </c>
      <c r="C53" s="516" t="s">
        <v>493</v>
      </c>
      <c r="D53" s="1317" t="s">
        <v>662</v>
      </c>
      <c r="E53" s="1317"/>
      <c r="F53" s="1317"/>
      <c r="G53" s="517" t="s">
        <v>549</v>
      </c>
      <c r="H53" s="517" t="s">
        <v>494</v>
      </c>
      <c r="I53" s="518">
        <v>95000</v>
      </c>
      <c r="J53" s="840">
        <v>0</v>
      </c>
      <c r="K53" s="686">
        <f>I53+J53</f>
        <v>95000</v>
      </c>
      <c r="L53" s="695"/>
      <c r="M53" s="696"/>
      <c r="N53" s="1319"/>
      <c r="O53" s="1319"/>
      <c r="P53" s="1319"/>
      <c r="Q53" s="697"/>
      <c r="R53" s="697"/>
      <c r="S53" s="698"/>
      <c r="T53" s="698"/>
      <c r="U53" s="698"/>
    </row>
    <row r="54" spans="2:21" ht="11.25" customHeight="1">
      <c r="B54" s="519"/>
      <c r="C54" s="520" t="s">
        <v>495</v>
      </c>
      <c r="D54" s="521" t="s">
        <v>651</v>
      </c>
      <c r="E54" s="1310" t="s">
        <v>652</v>
      </c>
      <c r="F54" s="1310"/>
      <c r="G54" s="517"/>
      <c r="H54" s="517"/>
      <c r="I54" s="518"/>
      <c r="J54" s="518"/>
      <c r="K54" s="686"/>
      <c r="L54" s="699"/>
      <c r="M54" s="700"/>
      <c r="N54" s="1320"/>
      <c r="O54" s="1320"/>
      <c r="P54" s="1320"/>
      <c r="Q54" s="701"/>
      <c r="R54" s="701"/>
      <c r="S54" s="702"/>
      <c r="T54" s="702"/>
      <c r="U54" s="702"/>
    </row>
    <row r="55" spans="2:21" ht="11.25" customHeight="1" thickBot="1">
      <c r="B55" s="522"/>
      <c r="C55" s="523" t="s">
        <v>498</v>
      </c>
      <c r="D55" s="524" t="s">
        <v>663</v>
      </c>
      <c r="E55" s="1311" t="s">
        <v>664</v>
      </c>
      <c r="F55" s="1311"/>
      <c r="G55" s="525"/>
      <c r="H55" s="526"/>
      <c r="I55" s="527"/>
      <c r="J55" s="527"/>
      <c r="K55" s="846"/>
      <c r="L55" s="703"/>
      <c r="M55" s="704"/>
      <c r="N55" s="705"/>
      <c r="O55" s="1321"/>
      <c r="P55" s="1321"/>
      <c r="Q55" s="701"/>
      <c r="R55" s="701"/>
      <c r="S55" s="702"/>
      <c r="T55" s="702"/>
      <c r="U55" s="702"/>
    </row>
    <row r="56" spans="2:35" s="511" customFormat="1" ht="25.5" customHeight="1">
      <c r="B56" s="512" t="s">
        <v>539</v>
      </c>
      <c r="C56" s="513" t="s">
        <v>489</v>
      </c>
      <c r="D56" s="1308" t="s">
        <v>665</v>
      </c>
      <c r="E56" s="1308"/>
      <c r="F56" s="1308"/>
      <c r="G56" s="514"/>
      <c r="H56" s="514" t="s">
        <v>491</v>
      </c>
      <c r="I56" s="844"/>
      <c r="J56" s="844"/>
      <c r="K56" s="845"/>
      <c r="L56" s="703"/>
      <c r="M56" s="700"/>
      <c r="N56" s="706"/>
      <c r="O56" s="1318"/>
      <c r="P56" s="1318"/>
      <c r="Q56" s="701"/>
      <c r="R56" s="707"/>
      <c r="S56" s="708"/>
      <c r="T56" s="708"/>
      <c r="U56" s="708"/>
      <c r="V56" s="710"/>
      <c r="W56" s="710"/>
      <c r="X56" s="710"/>
      <c r="Y56" s="710"/>
      <c r="Z56" s="710"/>
      <c r="AA56" s="710"/>
      <c r="AB56" s="710"/>
      <c r="AC56" s="710"/>
      <c r="AD56" s="710"/>
      <c r="AE56" s="710"/>
      <c r="AF56" s="710"/>
      <c r="AG56" s="710"/>
      <c r="AH56" s="710"/>
      <c r="AI56" s="710"/>
    </row>
    <row r="57" spans="2:21" ht="24" customHeight="1">
      <c r="B57" s="515" t="s">
        <v>666</v>
      </c>
      <c r="C57" s="516" t="s">
        <v>493</v>
      </c>
      <c r="D57" s="1317" t="s">
        <v>667</v>
      </c>
      <c r="E57" s="1317"/>
      <c r="F57" s="1317"/>
      <c r="G57" s="517" t="s">
        <v>549</v>
      </c>
      <c r="H57" s="517" t="s">
        <v>494</v>
      </c>
      <c r="I57" s="518">
        <v>40000</v>
      </c>
      <c r="J57" s="840">
        <v>87207</v>
      </c>
      <c r="K57" s="686">
        <f>I57+J57</f>
        <v>127207</v>
      </c>
      <c r="L57" s="695"/>
      <c r="M57" s="696"/>
      <c r="N57" s="1319"/>
      <c r="O57" s="1319"/>
      <c r="P57" s="1319"/>
      <c r="Q57" s="697"/>
      <c r="R57" s="697"/>
      <c r="S57" s="698"/>
      <c r="T57" s="698"/>
      <c r="U57" s="698"/>
    </row>
    <row r="58" spans="2:21" ht="11.25" customHeight="1">
      <c r="B58" s="519"/>
      <c r="C58" s="520" t="s">
        <v>495</v>
      </c>
      <c r="D58" s="521" t="s">
        <v>651</v>
      </c>
      <c r="E58" s="1310" t="s">
        <v>652</v>
      </c>
      <c r="F58" s="1310"/>
      <c r="G58" s="517"/>
      <c r="H58" s="517"/>
      <c r="I58" s="518"/>
      <c r="J58" s="518"/>
      <c r="K58" s="686"/>
      <c r="L58" s="699"/>
      <c r="M58" s="700"/>
      <c r="N58" s="1320"/>
      <c r="O58" s="1320"/>
      <c r="P58" s="1320"/>
      <c r="Q58" s="701"/>
      <c r="R58" s="701"/>
      <c r="S58" s="702"/>
      <c r="T58" s="702"/>
      <c r="U58" s="702"/>
    </row>
    <row r="59" spans="2:21" ht="11.25" customHeight="1" thickBot="1">
      <c r="B59" s="530"/>
      <c r="C59" s="531" t="s">
        <v>498</v>
      </c>
      <c r="D59" s="532" t="s">
        <v>668</v>
      </c>
      <c r="E59" s="1315" t="s">
        <v>669</v>
      </c>
      <c r="F59" s="1315"/>
      <c r="G59" s="533"/>
      <c r="H59" s="534"/>
      <c r="I59" s="535"/>
      <c r="J59" s="535"/>
      <c r="K59" s="847"/>
      <c r="L59" s="703"/>
      <c r="M59" s="704"/>
      <c r="N59" s="705"/>
      <c r="O59" s="1321"/>
      <c r="P59" s="1321"/>
      <c r="Q59" s="701"/>
      <c r="R59" s="701"/>
      <c r="S59" s="702"/>
      <c r="T59" s="702"/>
      <c r="U59" s="702"/>
    </row>
    <row r="60" spans="2:35" s="511" customFormat="1" ht="21" customHeight="1">
      <c r="B60" s="512" t="s">
        <v>539</v>
      </c>
      <c r="C60" s="513" t="s">
        <v>489</v>
      </c>
      <c r="D60" s="1308" t="s">
        <v>670</v>
      </c>
      <c r="E60" s="1308"/>
      <c r="F60" s="1308"/>
      <c r="G60" s="514"/>
      <c r="H60" s="514" t="s">
        <v>491</v>
      </c>
      <c r="I60" s="844"/>
      <c r="J60" s="844"/>
      <c r="K60" s="845"/>
      <c r="L60" s="703"/>
      <c r="M60" s="700"/>
      <c r="N60" s="706"/>
      <c r="O60" s="1318"/>
      <c r="P60" s="1318"/>
      <c r="Q60" s="701"/>
      <c r="R60" s="707"/>
      <c r="S60" s="708"/>
      <c r="T60" s="708"/>
      <c r="U60" s="708"/>
      <c r="V60" s="710"/>
      <c r="W60" s="710"/>
      <c r="X60" s="710"/>
      <c r="Y60" s="710"/>
      <c r="Z60" s="710"/>
      <c r="AA60" s="710"/>
      <c r="AB60" s="710"/>
      <c r="AC60" s="710"/>
      <c r="AD60" s="710"/>
      <c r="AE60" s="710"/>
      <c r="AF60" s="710"/>
      <c r="AG60" s="710"/>
      <c r="AH60" s="710"/>
      <c r="AI60" s="710"/>
    </row>
    <row r="61" spans="2:21" ht="11.25" customHeight="1">
      <c r="B61" s="515" t="s">
        <v>671</v>
      </c>
      <c r="C61" s="516" t="s">
        <v>493</v>
      </c>
      <c r="D61" s="1309" t="s">
        <v>1048</v>
      </c>
      <c r="E61" s="1309"/>
      <c r="F61" s="1309"/>
      <c r="G61" s="517" t="s">
        <v>549</v>
      </c>
      <c r="H61" s="517" t="s">
        <v>494</v>
      </c>
      <c r="I61" s="518">
        <v>380000</v>
      </c>
      <c r="J61" s="840">
        <v>320700</v>
      </c>
      <c r="K61" s="686">
        <f>I61+J61</f>
        <v>700700</v>
      </c>
      <c r="L61" s="711"/>
      <c r="M61" s="696"/>
      <c r="N61" s="1319"/>
      <c r="O61" s="1319"/>
      <c r="P61" s="1319"/>
      <c r="Q61" s="697"/>
      <c r="R61" s="697"/>
      <c r="S61" s="698"/>
      <c r="T61" s="698"/>
      <c r="U61" s="698"/>
    </row>
    <row r="62" spans="2:21" ht="11.25" customHeight="1">
      <c r="B62" s="519"/>
      <c r="C62" s="520" t="s">
        <v>495</v>
      </c>
      <c r="D62" s="521" t="s">
        <v>601</v>
      </c>
      <c r="E62" s="1310" t="s">
        <v>672</v>
      </c>
      <c r="F62" s="1310"/>
      <c r="G62" s="517"/>
      <c r="H62" s="517"/>
      <c r="I62" s="518"/>
      <c r="J62" s="518"/>
      <c r="K62" s="686"/>
      <c r="L62" s="699"/>
      <c r="M62" s="700"/>
      <c r="N62" s="709"/>
      <c r="O62" s="709"/>
      <c r="P62" s="709"/>
      <c r="Q62" s="701"/>
      <c r="R62" s="701"/>
      <c r="S62" s="702"/>
      <c r="T62" s="702"/>
      <c r="U62" s="702"/>
    </row>
    <row r="63" spans="2:21" ht="11.25" customHeight="1" thickBot="1">
      <c r="B63" s="522"/>
      <c r="C63" s="523" t="s">
        <v>498</v>
      </c>
      <c r="D63" s="524" t="s">
        <v>673</v>
      </c>
      <c r="E63" s="1311" t="s">
        <v>674</v>
      </c>
      <c r="F63" s="1311"/>
      <c r="G63" s="525"/>
      <c r="H63" s="526"/>
      <c r="I63" s="527"/>
      <c r="J63" s="527"/>
      <c r="K63" s="846"/>
      <c r="L63" s="711"/>
      <c r="M63" s="704"/>
      <c r="N63" s="705"/>
      <c r="O63" s="1321"/>
      <c r="P63" s="1321"/>
      <c r="Q63" s="701"/>
      <c r="R63" s="701"/>
      <c r="S63" s="702"/>
      <c r="T63" s="702"/>
      <c r="U63" s="702"/>
    </row>
    <row r="64" spans="2:35" s="511" customFormat="1" ht="25.5" customHeight="1">
      <c r="B64" s="512" t="s">
        <v>539</v>
      </c>
      <c r="C64" s="513" t="s">
        <v>489</v>
      </c>
      <c r="D64" s="1308" t="s">
        <v>675</v>
      </c>
      <c r="E64" s="1308"/>
      <c r="F64" s="1308"/>
      <c r="G64" s="514"/>
      <c r="H64" s="514" t="s">
        <v>491</v>
      </c>
      <c r="I64" s="844"/>
      <c r="J64" s="844"/>
      <c r="K64" s="693"/>
      <c r="L64" s="711"/>
      <c r="M64" s="700"/>
      <c r="N64" s="706"/>
      <c r="O64" s="1318"/>
      <c r="P64" s="1318"/>
      <c r="Q64" s="701"/>
      <c r="R64" s="707"/>
      <c r="S64" s="708"/>
      <c r="T64" s="708"/>
      <c r="U64" s="708"/>
      <c r="V64" s="710"/>
      <c r="W64" s="710"/>
      <c r="X64" s="710"/>
      <c r="Y64" s="710"/>
      <c r="Z64" s="710"/>
      <c r="AA64" s="710"/>
      <c r="AB64" s="710"/>
      <c r="AC64" s="710"/>
      <c r="AD64" s="710"/>
      <c r="AE64" s="710"/>
      <c r="AF64" s="710"/>
      <c r="AG64" s="710"/>
      <c r="AH64" s="710"/>
      <c r="AI64" s="710"/>
    </row>
    <row r="65" spans="2:21" ht="11.25" customHeight="1">
      <c r="B65" s="515" t="s">
        <v>676</v>
      </c>
      <c r="C65" s="516" t="s">
        <v>493</v>
      </c>
      <c r="D65" s="1317" t="s">
        <v>677</v>
      </c>
      <c r="E65" s="1317"/>
      <c r="F65" s="1317"/>
      <c r="G65" s="517" t="s">
        <v>549</v>
      </c>
      <c r="H65" s="517" t="s">
        <v>494</v>
      </c>
      <c r="I65" s="518">
        <v>6000</v>
      </c>
      <c r="J65" s="840">
        <v>73300</v>
      </c>
      <c r="K65" s="686">
        <f>I65+J65</f>
        <v>79300</v>
      </c>
      <c r="L65" s="711"/>
      <c r="M65" s="696"/>
      <c r="N65" s="1319"/>
      <c r="O65" s="1319"/>
      <c r="P65" s="1319"/>
      <c r="Q65" s="697"/>
      <c r="R65" s="697"/>
      <c r="S65" s="698"/>
      <c r="T65" s="698"/>
      <c r="U65" s="698"/>
    </row>
    <row r="66" spans="2:21" ht="11.25" customHeight="1">
      <c r="B66" s="519"/>
      <c r="C66" s="520" t="s">
        <v>495</v>
      </c>
      <c r="D66" s="521" t="s">
        <v>601</v>
      </c>
      <c r="E66" s="1310" t="s">
        <v>672</v>
      </c>
      <c r="F66" s="1310"/>
      <c r="G66" s="517"/>
      <c r="H66" s="517"/>
      <c r="I66" s="518"/>
      <c r="J66" s="518"/>
      <c r="K66" s="686"/>
      <c r="L66" s="699"/>
      <c r="M66" s="700"/>
      <c r="N66" s="709"/>
      <c r="O66" s="709"/>
      <c r="P66" s="709"/>
      <c r="Q66" s="701"/>
      <c r="R66" s="701"/>
      <c r="S66" s="702"/>
      <c r="T66" s="702"/>
      <c r="U66" s="702"/>
    </row>
    <row r="67" spans="2:21" ht="11.25" customHeight="1" thickBot="1">
      <c r="B67" s="522"/>
      <c r="C67" s="523" t="s">
        <v>498</v>
      </c>
      <c r="D67" s="524" t="s">
        <v>678</v>
      </c>
      <c r="E67" s="1311" t="s">
        <v>679</v>
      </c>
      <c r="F67" s="1311"/>
      <c r="G67" s="525"/>
      <c r="H67" s="526"/>
      <c r="I67" s="527"/>
      <c r="J67" s="527"/>
      <c r="K67" s="846"/>
      <c r="L67" s="711"/>
      <c r="M67" s="704"/>
      <c r="N67" s="705"/>
      <c r="O67" s="1321"/>
      <c r="P67" s="1321"/>
      <c r="Q67" s="701"/>
      <c r="R67" s="701"/>
      <c r="S67" s="702"/>
      <c r="T67" s="702"/>
      <c r="U67" s="702"/>
    </row>
    <row r="68" spans="2:35" s="511" customFormat="1" ht="26.25" customHeight="1">
      <c r="B68" s="512" t="s">
        <v>539</v>
      </c>
      <c r="C68" s="513" t="s">
        <v>489</v>
      </c>
      <c r="D68" s="1308" t="s">
        <v>680</v>
      </c>
      <c r="E68" s="1308"/>
      <c r="F68" s="1308"/>
      <c r="G68" s="514"/>
      <c r="H68" s="514" t="s">
        <v>491</v>
      </c>
      <c r="I68" s="844"/>
      <c r="J68" s="844"/>
      <c r="K68" s="693" t="s">
        <v>1062</v>
      </c>
      <c r="L68" s="711"/>
      <c r="M68" s="700"/>
      <c r="N68" s="706"/>
      <c r="O68" s="1318"/>
      <c r="P68" s="1318"/>
      <c r="Q68" s="701"/>
      <c r="R68" s="707"/>
      <c r="S68" s="708"/>
      <c r="T68" s="708"/>
      <c r="U68" s="708"/>
      <c r="V68" s="710"/>
      <c r="W68" s="710"/>
      <c r="X68" s="710"/>
      <c r="Y68" s="710"/>
      <c r="Z68" s="710"/>
      <c r="AA68" s="710"/>
      <c r="AB68" s="710"/>
      <c r="AC68" s="710"/>
      <c r="AD68" s="710"/>
      <c r="AE68" s="710"/>
      <c r="AF68" s="710"/>
      <c r="AG68" s="710"/>
      <c r="AH68" s="710"/>
      <c r="AI68" s="710"/>
    </row>
    <row r="69" spans="2:21" ht="11.25" customHeight="1">
      <c r="B69" s="515" t="s">
        <v>681</v>
      </c>
      <c r="C69" s="516" t="s">
        <v>493</v>
      </c>
      <c r="D69" s="1317" t="s">
        <v>682</v>
      </c>
      <c r="E69" s="1317"/>
      <c r="F69" s="1317"/>
      <c r="G69" s="517" t="s">
        <v>549</v>
      </c>
      <c r="H69" s="517" t="s">
        <v>494</v>
      </c>
      <c r="I69" s="518">
        <v>170000</v>
      </c>
      <c r="J69" s="840">
        <v>0</v>
      </c>
      <c r="K69" s="686">
        <f>I69+J69</f>
        <v>170000</v>
      </c>
      <c r="L69" s="695"/>
      <c r="M69" s="696"/>
      <c r="N69" s="1319"/>
      <c r="O69" s="1319"/>
      <c r="P69" s="1319"/>
      <c r="Q69" s="697"/>
      <c r="R69" s="697"/>
      <c r="S69" s="698"/>
      <c r="T69" s="698"/>
      <c r="U69" s="698"/>
    </row>
    <row r="70" spans="2:21" ht="11.25" customHeight="1">
      <c r="B70" s="519"/>
      <c r="C70" s="520" t="s">
        <v>495</v>
      </c>
      <c r="D70" s="521" t="s">
        <v>601</v>
      </c>
      <c r="E70" s="1310" t="s">
        <v>672</v>
      </c>
      <c r="F70" s="1310"/>
      <c r="G70" s="517"/>
      <c r="H70" s="517"/>
      <c r="I70" s="518"/>
      <c r="J70" s="518"/>
      <c r="K70" s="686"/>
      <c r="L70" s="699"/>
      <c r="M70" s="700"/>
      <c r="N70" s="1320"/>
      <c r="O70" s="1320"/>
      <c r="P70" s="1320"/>
      <c r="Q70" s="701"/>
      <c r="R70" s="701"/>
      <c r="S70" s="702"/>
      <c r="T70" s="702"/>
      <c r="U70" s="702"/>
    </row>
    <row r="71" spans="2:21" ht="11.25" customHeight="1" thickBot="1">
      <c r="B71" s="522"/>
      <c r="C71" s="523" t="s">
        <v>498</v>
      </c>
      <c r="D71" s="524" t="s">
        <v>683</v>
      </c>
      <c r="E71" s="1311" t="s">
        <v>684</v>
      </c>
      <c r="F71" s="1311"/>
      <c r="G71" s="525"/>
      <c r="H71" s="526"/>
      <c r="I71" s="527"/>
      <c r="J71" s="527"/>
      <c r="K71" s="846"/>
      <c r="L71" s="703"/>
      <c r="M71" s="704"/>
      <c r="N71" s="705"/>
      <c r="O71" s="1321"/>
      <c r="P71" s="1321"/>
      <c r="Q71" s="701"/>
      <c r="R71" s="701"/>
      <c r="S71" s="702"/>
      <c r="T71" s="702"/>
      <c r="U71" s="702"/>
    </row>
    <row r="72" spans="2:35" s="511" customFormat="1" ht="25.5" customHeight="1">
      <c r="B72" s="512" t="s">
        <v>539</v>
      </c>
      <c r="C72" s="513" t="s">
        <v>489</v>
      </c>
      <c r="D72" s="1308" t="s">
        <v>685</v>
      </c>
      <c r="E72" s="1308"/>
      <c r="F72" s="1308"/>
      <c r="G72" s="514"/>
      <c r="H72" s="514" t="s">
        <v>491</v>
      </c>
      <c r="I72" s="844"/>
      <c r="J72" s="844"/>
      <c r="K72" s="845"/>
      <c r="L72" s="703"/>
      <c r="M72" s="700"/>
      <c r="N72" s="706"/>
      <c r="O72" s="1318"/>
      <c r="P72" s="1318"/>
      <c r="Q72" s="701"/>
      <c r="R72" s="707"/>
      <c r="S72" s="708"/>
      <c r="T72" s="708"/>
      <c r="U72" s="708"/>
      <c r="V72" s="710"/>
      <c r="W72" s="710"/>
      <c r="X72" s="710"/>
      <c r="Y72" s="710"/>
      <c r="Z72" s="710"/>
      <c r="AA72" s="710"/>
      <c r="AB72" s="710"/>
      <c r="AC72" s="710"/>
      <c r="AD72" s="710"/>
      <c r="AE72" s="710"/>
      <c r="AF72" s="710"/>
      <c r="AG72" s="710"/>
      <c r="AH72" s="710"/>
      <c r="AI72" s="710"/>
    </row>
    <row r="73" spans="2:21" ht="21.75" customHeight="1">
      <c r="B73" s="515" t="s">
        <v>686</v>
      </c>
      <c r="C73" s="516" t="s">
        <v>493</v>
      </c>
      <c r="D73" s="1317" t="s">
        <v>687</v>
      </c>
      <c r="E73" s="1317"/>
      <c r="F73" s="1317"/>
      <c r="G73" s="517" t="s">
        <v>549</v>
      </c>
      <c r="H73" s="517" t="s">
        <v>494</v>
      </c>
      <c r="I73" s="851">
        <v>890000</v>
      </c>
      <c r="J73" s="841">
        <v>587400</v>
      </c>
      <c r="K73" s="852">
        <f>I73+J73</f>
        <v>1477400</v>
      </c>
      <c r="L73" s="695"/>
      <c r="M73" s="696"/>
      <c r="N73" s="1319"/>
      <c r="O73" s="1319"/>
      <c r="P73" s="1319"/>
      <c r="Q73" s="697"/>
      <c r="R73" s="697"/>
      <c r="S73" s="698"/>
      <c r="T73" s="698"/>
      <c r="U73" s="698"/>
    </row>
    <row r="74" spans="2:21" ht="11.25" customHeight="1">
      <c r="B74" s="519"/>
      <c r="C74" s="520" t="s">
        <v>495</v>
      </c>
      <c r="D74" s="521" t="s">
        <v>601</v>
      </c>
      <c r="E74" s="1310" t="s">
        <v>672</v>
      </c>
      <c r="F74" s="1310"/>
      <c r="G74" s="517"/>
      <c r="H74" s="517"/>
      <c r="I74" s="518"/>
      <c r="J74" s="518"/>
      <c r="K74" s="686"/>
      <c r="L74" s="699"/>
      <c r="M74" s="700"/>
      <c r="N74" s="1320"/>
      <c r="O74" s="1320"/>
      <c r="P74" s="1320"/>
      <c r="Q74" s="701"/>
      <c r="R74" s="701"/>
      <c r="S74" s="702"/>
      <c r="T74" s="702"/>
      <c r="U74" s="702"/>
    </row>
    <row r="75" spans="2:21" ht="11.25" customHeight="1" thickBot="1">
      <c r="B75" s="522"/>
      <c r="C75" s="523" t="s">
        <v>498</v>
      </c>
      <c r="D75" s="524" t="s">
        <v>683</v>
      </c>
      <c r="E75" s="1311" t="s">
        <v>684</v>
      </c>
      <c r="F75" s="1311"/>
      <c r="G75" s="525"/>
      <c r="H75" s="526"/>
      <c r="I75" s="527"/>
      <c r="J75" s="527"/>
      <c r="K75" s="846"/>
      <c r="L75" s="703"/>
      <c r="M75" s="704"/>
      <c r="N75" s="705"/>
      <c r="O75" s="1321"/>
      <c r="P75" s="1321"/>
      <c r="Q75" s="701"/>
      <c r="R75" s="701"/>
      <c r="S75" s="702"/>
      <c r="T75" s="702"/>
      <c r="U75" s="702"/>
    </row>
    <row r="76" spans="2:21" ht="26.25" customHeight="1">
      <c r="B76" s="512" t="s">
        <v>516</v>
      </c>
      <c r="C76" s="513" t="s">
        <v>489</v>
      </c>
      <c r="D76" s="1322" t="s">
        <v>1166</v>
      </c>
      <c r="E76" s="1322"/>
      <c r="F76" s="1322"/>
      <c r="G76" s="514"/>
      <c r="H76" s="514" t="s">
        <v>491</v>
      </c>
      <c r="I76" s="844"/>
      <c r="J76" s="844"/>
      <c r="K76" s="693"/>
      <c r="L76" s="703"/>
      <c r="M76" s="700"/>
      <c r="N76" s="706"/>
      <c r="O76" s="1325"/>
      <c r="P76" s="1325"/>
      <c r="Q76" s="701"/>
      <c r="R76" s="707"/>
      <c r="S76" s="708"/>
      <c r="T76" s="708"/>
      <c r="U76" s="708"/>
    </row>
    <row r="77" spans="2:21" ht="11.25" customHeight="1">
      <c r="B77" s="515" t="s">
        <v>686</v>
      </c>
      <c r="C77" s="516" t="s">
        <v>493</v>
      </c>
      <c r="D77" s="529" t="s">
        <v>1071</v>
      </c>
      <c r="E77" s="529"/>
      <c r="F77" s="529"/>
      <c r="G77" s="517" t="s">
        <v>634</v>
      </c>
      <c r="H77" s="517" t="s">
        <v>494</v>
      </c>
      <c r="I77" s="859">
        <v>50000</v>
      </c>
      <c r="J77" s="840">
        <v>0</v>
      </c>
      <c r="K77" s="686">
        <f>I77+J77</f>
        <v>50000</v>
      </c>
      <c r="L77" s="695"/>
      <c r="M77" s="696"/>
      <c r="N77" s="1319"/>
      <c r="O77" s="1319"/>
      <c r="P77" s="1319"/>
      <c r="Q77" s="697"/>
      <c r="R77" s="697"/>
      <c r="S77" s="698"/>
      <c r="T77" s="698"/>
      <c r="U77" s="698"/>
    </row>
    <row r="78" spans="2:21" ht="11.25" customHeight="1">
      <c r="B78" s="519"/>
      <c r="C78" s="520" t="s">
        <v>495</v>
      </c>
      <c r="D78" s="521" t="s">
        <v>601</v>
      </c>
      <c r="E78" s="1310" t="s">
        <v>672</v>
      </c>
      <c r="F78" s="1310"/>
      <c r="G78" s="517"/>
      <c r="H78" s="517"/>
      <c r="I78" s="518"/>
      <c r="J78" s="518"/>
      <c r="K78" s="686"/>
      <c r="L78" s="699"/>
      <c r="M78" s="700"/>
      <c r="N78" s="1320"/>
      <c r="O78" s="1320"/>
      <c r="P78" s="1320"/>
      <c r="Q78" s="701"/>
      <c r="R78" s="701"/>
      <c r="S78" s="702"/>
      <c r="T78" s="702"/>
      <c r="U78" s="702"/>
    </row>
    <row r="79" spans="2:21" ht="11.25" customHeight="1" thickBot="1">
      <c r="B79" s="522"/>
      <c r="C79" s="523" t="s">
        <v>498</v>
      </c>
      <c r="D79" s="524" t="s">
        <v>683</v>
      </c>
      <c r="E79" s="1311" t="s">
        <v>684</v>
      </c>
      <c r="F79" s="1311"/>
      <c r="G79" s="525"/>
      <c r="H79" s="526"/>
      <c r="I79" s="527"/>
      <c r="J79" s="527"/>
      <c r="K79" s="846"/>
      <c r="L79" s="703"/>
      <c r="M79" s="704"/>
      <c r="N79" s="705"/>
      <c r="O79" s="1321"/>
      <c r="P79" s="1321"/>
      <c r="Q79" s="701"/>
      <c r="R79" s="701"/>
      <c r="S79" s="702"/>
      <c r="T79" s="702"/>
      <c r="U79" s="702"/>
    </row>
    <row r="80" spans="2:21" ht="30" customHeight="1">
      <c r="B80" s="512" t="s">
        <v>516</v>
      </c>
      <c r="C80" s="513" t="s">
        <v>489</v>
      </c>
      <c r="D80" s="1322" t="s">
        <v>1072</v>
      </c>
      <c r="E80" s="1322"/>
      <c r="F80" s="1322"/>
      <c r="G80" s="514"/>
      <c r="H80" s="514" t="s">
        <v>491</v>
      </c>
      <c r="I80" s="844"/>
      <c r="J80" s="844"/>
      <c r="K80" s="693"/>
      <c r="L80" s="703"/>
      <c r="M80" s="704"/>
      <c r="N80" s="705"/>
      <c r="O80" s="742"/>
      <c r="P80" s="742"/>
      <c r="Q80" s="701"/>
      <c r="R80" s="701"/>
      <c r="S80" s="702"/>
      <c r="T80" s="702"/>
      <c r="U80" s="702"/>
    </row>
    <row r="81" spans="2:21" ht="11.25" customHeight="1">
      <c r="B81" s="515" t="s">
        <v>686</v>
      </c>
      <c r="C81" s="516" t="s">
        <v>493</v>
      </c>
      <c r="D81" s="529" t="s">
        <v>1171</v>
      </c>
      <c r="E81" s="529"/>
      <c r="F81" s="529"/>
      <c r="G81" s="517" t="s">
        <v>634</v>
      </c>
      <c r="H81" s="517" t="s">
        <v>494</v>
      </c>
      <c r="I81" s="859">
        <v>20000</v>
      </c>
      <c r="J81" s="840">
        <v>147420</v>
      </c>
      <c r="K81" s="686">
        <f>I81+J81</f>
        <v>167420</v>
      </c>
      <c r="L81" s="703"/>
      <c r="M81" s="704"/>
      <c r="N81" s="705"/>
      <c r="O81" s="742"/>
      <c r="P81" s="742"/>
      <c r="Q81" s="701"/>
      <c r="R81" s="701"/>
      <c r="S81" s="702"/>
      <c r="T81" s="702"/>
      <c r="U81" s="702"/>
    </row>
    <row r="82" spans="2:21" ht="11.25" customHeight="1">
      <c r="B82" s="519"/>
      <c r="C82" s="520" t="s">
        <v>495</v>
      </c>
      <c r="D82" s="521" t="s">
        <v>601</v>
      </c>
      <c r="E82" s="1310" t="s">
        <v>672</v>
      </c>
      <c r="F82" s="1310"/>
      <c r="G82" s="517"/>
      <c r="H82" s="517"/>
      <c r="I82" s="518"/>
      <c r="J82" s="518"/>
      <c r="K82" s="686"/>
      <c r="L82" s="703"/>
      <c r="M82" s="704"/>
      <c r="N82" s="705"/>
      <c r="O82" s="742"/>
      <c r="P82" s="742"/>
      <c r="Q82" s="701"/>
      <c r="R82" s="701"/>
      <c r="S82" s="702"/>
      <c r="T82" s="702"/>
      <c r="U82" s="702"/>
    </row>
    <row r="83" spans="2:21" ht="11.25" customHeight="1" thickBot="1">
      <c r="B83" s="522"/>
      <c r="C83" s="523" t="s">
        <v>498</v>
      </c>
      <c r="D83" s="524" t="s">
        <v>683</v>
      </c>
      <c r="E83" s="1311" t="s">
        <v>684</v>
      </c>
      <c r="F83" s="1311"/>
      <c r="G83" s="525"/>
      <c r="H83" s="526"/>
      <c r="I83" s="527"/>
      <c r="J83" s="527"/>
      <c r="K83" s="846"/>
      <c r="L83" s="703"/>
      <c r="M83" s="704"/>
      <c r="N83" s="705"/>
      <c r="O83" s="742"/>
      <c r="P83" s="742"/>
      <c r="Q83" s="701"/>
      <c r="R83" s="701"/>
      <c r="S83" s="702"/>
      <c r="T83" s="702"/>
      <c r="U83" s="702"/>
    </row>
    <row r="84" spans="2:35" s="511" customFormat="1" ht="25.5" customHeight="1">
      <c r="B84" s="512" t="s">
        <v>539</v>
      </c>
      <c r="C84" s="513" t="s">
        <v>489</v>
      </c>
      <c r="D84" s="1308" t="s">
        <v>688</v>
      </c>
      <c r="E84" s="1308"/>
      <c r="F84" s="1308"/>
      <c r="G84" s="514"/>
      <c r="H84" s="514" t="s">
        <v>491</v>
      </c>
      <c r="I84" s="844"/>
      <c r="J84" s="844"/>
      <c r="K84" s="845"/>
      <c r="L84" s="710"/>
      <c r="M84" s="710"/>
      <c r="N84" s="710"/>
      <c r="O84" s="710"/>
      <c r="P84" s="710"/>
      <c r="Q84" s="710"/>
      <c r="R84" s="710"/>
      <c r="S84" s="710"/>
      <c r="T84" s="710"/>
      <c r="U84" s="710"/>
      <c r="V84" s="710"/>
      <c r="W84" s="710"/>
      <c r="X84" s="710"/>
      <c r="Y84" s="710"/>
      <c r="Z84" s="710"/>
      <c r="AA84" s="710"/>
      <c r="AB84" s="710"/>
      <c r="AC84" s="710"/>
      <c r="AD84" s="710"/>
      <c r="AE84" s="710"/>
      <c r="AF84" s="710"/>
      <c r="AG84" s="710"/>
      <c r="AH84" s="710"/>
      <c r="AI84" s="710"/>
    </row>
    <row r="85" spans="2:11" ht="11.25" customHeight="1">
      <c r="B85" s="515" t="s">
        <v>689</v>
      </c>
      <c r="C85" s="516" t="s">
        <v>493</v>
      </c>
      <c r="D85" s="1317" t="s">
        <v>690</v>
      </c>
      <c r="E85" s="1317"/>
      <c r="F85" s="1317"/>
      <c r="G85" s="517" t="s">
        <v>549</v>
      </c>
      <c r="H85" s="517" t="s">
        <v>494</v>
      </c>
      <c r="I85" s="518">
        <v>47000</v>
      </c>
      <c r="J85" s="840">
        <v>0</v>
      </c>
      <c r="K85" s="686">
        <f>I85+J85</f>
        <v>47000</v>
      </c>
    </row>
    <row r="86" spans="2:11" ht="11.25" customHeight="1">
      <c r="B86" s="519"/>
      <c r="C86" s="520" t="s">
        <v>495</v>
      </c>
      <c r="D86" s="521" t="s">
        <v>601</v>
      </c>
      <c r="E86" s="1310" t="s">
        <v>672</v>
      </c>
      <c r="F86" s="1310"/>
      <c r="G86" s="517"/>
      <c r="H86" s="517"/>
      <c r="I86" s="518"/>
      <c r="J86" s="518"/>
      <c r="K86" s="686"/>
    </row>
    <row r="87" spans="2:12" ht="11.25" customHeight="1" thickBot="1">
      <c r="B87" s="522"/>
      <c r="C87" s="523" t="s">
        <v>498</v>
      </c>
      <c r="D87" s="524" t="s">
        <v>691</v>
      </c>
      <c r="E87" s="1311" t="s">
        <v>692</v>
      </c>
      <c r="F87" s="1311"/>
      <c r="G87" s="525"/>
      <c r="H87" s="526"/>
      <c r="I87" s="527"/>
      <c r="J87" s="527"/>
      <c r="K87" s="846"/>
      <c r="L87" s="728"/>
    </row>
    <row r="88" spans="2:35" s="511" customFormat="1" ht="24" customHeight="1" hidden="1">
      <c r="B88" s="512" t="s">
        <v>516</v>
      </c>
      <c r="C88" s="513" t="s">
        <v>489</v>
      </c>
      <c r="D88" s="1308" t="s">
        <v>697</v>
      </c>
      <c r="E88" s="1308"/>
      <c r="F88" s="1308"/>
      <c r="G88" s="514"/>
      <c r="H88" s="514" t="s">
        <v>491</v>
      </c>
      <c r="I88" s="844">
        <v>1</v>
      </c>
      <c r="J88" s="844"/>
      <c r="K88" s="845"/>
      <c r="L88" s="710"/>
      <c r="M88" s="710"/>
      <c r="N88" s="710"/>
      <c r="O88" s="710"/>
      <c r="P88" s="710"/>
      <c r="Q88" s="710"/>
      <c r="R88" s="710"/>
      <c r="S88" s="710"/>
      <c r="T88" s="710"/>
      <c r="U88" s="710"/>
      <c r="V88" s="710"/>
      <c r="W88" s="710"/>
      <c r="X88" s="710"/>
      <c r="Y88" s="710"/>
      <c r="Z88" s="710"/>
      <c r="AA88" s="710"/>
      <c r="AB88" s="710"/>
      <c r="AC88" s="710"/>
      <c r="AD88" s="710"/>
      <c r="AE88" s="710"/>
      <c r="AF88" s="710"/>
      <c r="AG88" s="710"/>
      <c r="AH88" s="710"/>
      <c r="AI88" s="710"/>
    </row>
    <row r="89" spans="2:11" ht="48.75" customHeight="1" hidden="1">
      <c r="B89" s="515" t="s">
        <v>698</v>
      </c>
      <c r="C89" s="516" t="s">
        <v>493</v>
      </c>
      <c r="D89" s="1317" t="s">
        <v>699</v>
      </c>
      <c r="E89" s="1317"/>
      <c r="F89" s="1317"/>
      <c r="G89" s="517" t="s">
        <v>634</v>
      </c>
      <c r="H89" s="517" t="s">
        <v>494</v>
      </c>
      <c r="I89" s="518">
        <v>0</v>
      </c>
      <c r="J89" s="518">
        <v>0</v>
      </c>
      <c r="K89" s="686">
        <f>I89+J89</f>
        <v>0</v>
      </c>
    </row>
    <row r="90" spans="2:11" ht="11.25" customHeight="1" hidden="1">
      <c r="B90" s="519"/>
      <c r="C90" s="520" t="s">
        <v>495</v>
      </c>
      <c r="D90" s="521" t="s">
        <v>644</v>
      </c>
      <c r="E90" s="1310" t="s">
        <v>645</v>
      </c>
      <c r="F90" s="1310"/>
      <c r="G90" s="517"/>
      <c r="H90" s="517"/>
      <c r="I90" s="518"/>
      <c r="J90" s="518"/>
      <c r="K90" s="686"/>
    </row>
    <row r="91" spans="2:11" ht="11.25" customHeight="1" hidden="1" thickBot="1">
      <c r="B91" s="522"/>
      <c r="C91" s="523" t="s">
        <v>498</v>
      </c>
      <c r="D91" s="524" t="s">
        <v>646</v>
      </c>
      <c r="E91" s="1311" t="s">
        <v>647</v>
      </c>
      <c r="F91" s="1311"/>
      <c r="G91" s="525"/>
      <c r="H91" s="526"/>
      <c r="I91" s="527"/>
      <c r="J91" s="527"/>
      <c r="K91" s="846"/>
    </row>
    <row r="92" spans="2:11" ht="27" customHeight="1" hidden="1">
      <c r="B92" s="512" t="s">
        <v>516</v>
      </c>
      <c r="C92" s="513" t="s">
        <v>489</v>
      </c>
      <c r="D92" s="1323" t="s">
        <v>700</v>
      </c>
      <c r="E92" s="1323"/>
      <c r="F92" s="1323"/>
      <c r="G92" s="542"/>
      <c r="H92" s="514" t="s">
        <v>491</v>
      </c>
      <c r="I92" s="844">
        <v>1</v>
      </c>
      <c r="J92" s="844"/>
      <c r="K92" s="845"/>
    </row>
    <row r="93" spans="2:11" ht="11.25" customHeight="1" hidden="1">
      <c r="B93" s="515" t="s">
        <v>701</v>
      </c>
      <c r="C93" s="516" t="s">
        <v>493</v>
      </c>
      <c r="D93" s="529" t="s">
        <v>702</v>
      </c>
      <c r="E93" s="529"/>
      <c r="F93" s="529"/>
      <c r="G93" s="543" t="s">
        <v>634</v>
      </c>
      <c r="H93" s="517" t="s">
        <v>494</v>
      </c>
      <c r="I93" s="518">
        <v>0</v>
      </c>
      <c r="J93" s="518">
        <v>0</v>
      </c>
      <c r="K93" s="686">
        <f>I93+J93</f>
        <v>0</v>
      </c>
    </row>
    <row r="94" spans="2:11" ht="11.25" customHeight="1" hidden="1">
      <c r="B94" s="519"/>
      <c r="C94" s="520" t="s">
        <v>495</v>
      </c>
      <c r="D94" s="521" t="s">
        <v>605</v>
      </c>
      <c r="E94" s="1310" t="s">
        <v>703</v>
      </c>
      <c r="F94" s="1310"/>
      <c r="G94" s="543"/>
      <c r="H94" s="517"/>
      <c r="I94" s="518"/>
      <c r="J94" s="518"/>
      <c r="K94" s="686"/>
    </row>
    <row r="95" spans="2:11" ht="11.25" customHeight="1" hidden="1" thickBot="1">
      <c r="B95" s="522"/>
      <c r="C95" s="523" t="s">
        <v>498</v>
      </c>
      <c r="D95" s="524" t="s">
        <v>704</v>
      </c>
      <c r="E95" s="1311" t="s">
        <v>705</v>
      </c>
      <c r="F95" s="1311"/>
      <c r="G95" s="544"/>
      <c r="H95" s="526"/>
      <c r="I95" s="527"/>
      <c r="J95" s="527"/>
      <c r="K95" s="846"/>
    </row>
    <row r="96" spans="2:35" s="511" customFormat="1" ht="27.75" customHeight="1" hidden="1">
      <c r="B96" s="536" t="s">
        <v>516</v>
      </c>
      <c r="C96" s="537" t="s">
        <v>489</v>
      </c>
      <c r="D96" s="1324" t="s">
        <v>10</v>
      </c>
      <c r="E96" s="1324"/>
      <c r="F96" s="1324"/>
      <c r="G96" s="545"/>
      <c r="H96" s="538" t="s">
        <v>491</v>
      </c>
      <c r="I96" s="848"/>
      <c r="J96" s="848">
        <v>1</v>
      </c>
      <c r="K96" s="849"/>
      <c r="L96" s="710"/>
      <c r="M96" s="710"/>
      <c r="N96" s="710"/>
      <c r="O96" s="710"/>
      <c r="P96" s="710"/>
      <c r="Q96" s="710"/>
      <c r="R96" s="710"/>
      <c r="S96" s="710"/>
      <c r="T96" s="710"/>
      <c r="U96" s="710"/>
      <c r="V96" s="710"/>
      <c r="W96" s="710"/>
      <c r="X96" s="710"/>
      <c r="Y96" s="710"/>
      <c r="Z96" s="710"/>
      <c r="AA96" s="710"/>
      <c r="AB96" s="710"/>
      <c r="AC96" s="710"/>
      <c r="AD96" s="710"/>
      <c r="AE96" s="710"/>
      <c r="AF96" s="710"/>
      <c r="AG96" s="710"/>
      <c r="AH96" s="710"/>
      <c r="AI96" s="710"/>
    </row>
    <row r="97" spans="2:11" ht="11.25" customHeight="1" hidden="1">
      <c r="B97" s="515" t="s">
        <v>701</v>
      </c>
      <c r="C97" s="516" t="s">
        <v>493</v>
      </c>
      <c r="D97" s="529" t="s">
        <v>11</v>
      </c>
      <c r="E97" s="529"/>
      <c r="F97" s="529"/>
      <c r="G97" s="543" t="s">
        <v>634</v>
      </c>
      <c r="H97" s="517" t="s">
        <v>494</v>
      </c>
      <c r="I97" s="518">
        <v>0</v>
      </c>
      <c r="J97" s="842">
        <v>0</v>
      </c>
      <c r="K97" s="686">
        <f>I97+J97</f>
        <v>0</v>
      </c>
    </row>
    <row r="98" spans="2:11" ht="11.25" customHeight="1" hidden="1">
      <c r="B98" s="519"/>
      <c r="C98" s="520" t="s">
        <v>495</v>
      </c>
      <c r="D98" s="521" t="s">
        <v>605</v>
      </c>
      <c r="E98" s="1310" t="s">
        <v>703</v>
      </c>
      <c r="F98" s="1310"/>
      <c r="G98" s="543"/>
      <c r="H98" s="517"/>
      <c r="I98" s="518"/>
      <c r="J98" s="518"/>
      <c r="K98" s="686"/>
    </row>
    <row r="99" spans="2:11" ht="11.25" customHeight="1" hidden="1" thickBot="1">
      <c r="B99" s="522"/>
      <c r="C99" s="523" t="s">
        <v>498</v>
      </c>
      <c r="D99" s="524" t="s">
        <v>704</v>
      </c>
      <c r="E99" s="1311" t="s">
        <v>705</v>
      </c>
      <c r="F99" s="1311"/>
      <c r="G99" s="543"/>
      <c r="H99" s="526"/>
      <c r="I99" s="527"/>
      <c r="J99" s="527"/>
      <c r="K99" s="846"/>
    </row>
    <row r="100" spans="2:35" s="511" customFormat="1" ht="27" customHeight="1">
      <c r="B100" s="512" t="s">
        <v>539</v>
      </c>
      <c r="C100" s="513" t="s">
        <v>489</v>
      </c>
      <c r="D100" s="1308" t="s">
        <v>706</v>
      </c>
      <c r="E100" s="1308"/>
      <c r="F100" s="1308"/>
      <c r="G100" s="514"/>
      <c r="H100" s="514" t="s">
        <v>491</v>
      </c>
      <c r="I100" s="844"/>
      <c r="J100" s="844"/>
      <c r="K100" s="693"/>
      <c r="L100" s="710"/>
      <c r="M100" s="710"/>
      <c r="N100" s="710"/>
      <c r="O100" s="710"/>
      <c r="P100" s="710"/>
      <c r="Q100" s="710"/>
      <c r="R100" s="710"/>
      <c r="S100" s="710"/>
      <c r="T100" s="710"/>
      <c r="U100" s="710"/>
      <c r="V100" s="710"/>
      <c r="W100" s="710"/>
      <c r="X100" s="710"/>
      <c r="Y100" s="710"/>
      <c r="Z100" s="710"/>
      <c r="AA100" s="710"/>
      <c r="AB100" s="710"/>
      <c r="AC100" s="710"/>
      <c r="AD100" s="710"/>
      <c r="AE100" s="710"/>
      <c r="AF100" s="710"/>
      <c r="AG100" s="710"/>
      <c r="AH100" s="710"/>
      <c r="AI100" s="710"/>
    </row>
    <row r="101" spans="2:11" ht="15" customHeight="1">
      <c r="B101" s="515" t="s">
        <v>707</v>
      </c>
      <c r="C101" s="516" t="s">
        <v>493</v>
      </c>
      <c r="D101" s="1317" t="s">
        <v>708</v>
      </c>
      <c r="E101" s="1317"/>
      <c r="F101" s="1317"/>
      <c r="G101" s="517" t="s">
        <v>549</v>
      </c>
      <c r="H101" s="517" t="s">
        <v>494</v>
      </c>
      <c r="I101" s="518">
        <v>260000</v>
      </c>
      <c r="J101" s="840">
        <v>0</v>
      </c>
      <c r="K101" s="686">
        <f>I101+J101</f>
        <v>260000</v>
      </c>
    </row>
    <row r="102" spans="2:11" ht="11.25" customHeight="1">
      <c r="B102" s="519"/>
      <c r="C102" s="520" t="s">
        <v>495</v>
      </c>
      <c r="D102" s="521" t="s">
        <v>607</v>
      </c>
      <c r="E102" s="1310" t="s">
        <v>709</v>
      </c>
      <c r="F102" s="1310"/>
      <c r="G102" s="517"/>
      <c r="H102" s="517"/>
      <c r="I102" s="518"/>
      <c r="J102" s="518"/>
      <c r="K102" s="686"/>
    </row>
    <row r="103" spans="2:11" ht="11.25" customHeight="1" thickBot="1">
      <c r="B103" s="522"/>
      <c r="C103" s="523" t="s">
        <v>498</v>
      </c>
      <c r="D103" s="524" t="s">
        <v>710</v>
      </c>
      <c r="E103" s="1311" t="s">
        <v>711</v>
      </c>
      <c r="F103" s="1311"/>
      <c r="G103" s="525"/>
      <c r="H103" s="526"/>
      <c r="I103" s="527"/>
      <c r="J103" s="527"/>
      <c r="K103" s="846"/>
    </row>
    <row r="104" spans="2:11" ht="24" customHeight="1">
      <c r="B104" s="512" t="s">
        <v>539</v>
      </c>
      <c r="C104" s="513" t="s">
        <v>489</v>
      </c>
      <c r="D104" s="1308" t="s">
        <v>713</v>
      </c>
      <c r="E104" s="1308"/>
      <c r="F104" s="1308"/>
      <c r="G104" s="514"/>
      <c r="H104" s="514" t="s">
        <v>491</v>
      </c>
      <c r="I104" s="844"/>
      <c r="J104" s="844"/>
      <c r="K104" s="853"/>
    </row>
    <row r="105" spans="2:11" ht="23.25" customHeight="1">
      <c r="B105" s="515" t="s">
        <v>714</v>
      </c>
      <c r="C105" s="516" t="s">
        <v>493</v>
      </c>
      <c r="D105" s="1317" t="s">
        <v>715</v>
      </c>
      <c r="E105" s="1317"/>
      <c r="F105" s="1317"/>
      <c r="G105" s="517" t="s">
        <v>549</v>
      </c>
      <c r="H105" s="517" t="s">
        <v>494</v>
      </c>
      <c r="I105" s="518">
        <v>1758129</v>
      </c>
      <c r="J105" s="840">
        <v>0</v>
      </c>
      <c r="K105" s="686">
        <f>I105+J105</f>
        <v>1758129</v>
      </c>
    </row>
    <row r="106" spans="2:11" ht="11.25" customHeight="1">
      <c r="B106" s="546"/>
      <c r="C106" s="520" t="s">
        <v>495</v>
      </c>
      <c r="D106" s="521" t="s">
        <v>716</v>
      </c>
      <c r="E106" s="1310" t="s">
        <v>717</v>
      </c>
      <c r="F106" s="1310"/>
      <c r="G106" s="517"/>
      <c r="H106" s="517"/>
      <c r="I106" s="518"/>
      <c r="J106" s="518"/>
      <c r="K106" s="686"/>
    </row>
    <row r="107" spans="2:11" ht="11.25" customHeight="1" thickBot="1">
      <c r="B107" s="547"/>
      <c r="C107" s="523" t="s">
        <v>498</v>
      </c>
      <c r="D107" s="524" t="s">
        <v>718</v>
      </c>
      <c r="E107" s="1311" t="s">
        <v>719</v>
      </c>
      <c r="F107" s="1311"/>
      <c r="G107" s="525"/>
      <c r="H107" s="526"/>
      <c r="I107" s="527"/>
      <c r="J107" s="527"/>
      <c r="K107" s="846"/>
    </row>
    <row r="108" spans="2:11" ht="21" customHeight="1">
      <c r="B108" s="512" t="s">
        <v>539</v>
      </c>
      <c r="C108" s="513" t="s">
        <v>489</v>
      </c>
      <c r="D108" s="1308" t="s">
        <v>720</v>
      </c>
      <c r="E108" s="1308"/>
      <c r="F108" s="1308"/>
      <c r="G108" s="514"/>
      <c r="H108" s="514" t="s">
        <v>491</v>
      </c>
      <c r="I108" s="844"/>
      <c r="J108" s="844"/>
      <c r="K108" s="693"/>
    </row>
    <row r="109" spans="2:11" ht="11.25" customHeight="1">
      <c r="B109" s="515" t="s">
        <v>714</v>
      </c>
      <c r="C109" s="516" t="s">
        <v>493</v>
      </c>
      <c r="D109" s="1317" t="s">
        <v>721</v>
      </c>
      <c r="E109" s="1317"/>
      <c r="F109" s="1317"/>
      <c r="G109" s="517" t="s">
        <v>549</v>
      </c>
      <c r="H109" s="517" t="s">
        <v>494</v>
      </c>
      <c r="I109" s="518">
        <v>4000</v>
      </c>
      <c r="J109" s="840">
        <v>0</v>
      </c>
      <c r="K109" s="686">
        <f>I109+J109</f>
        <v>4000</v>
      </c>
    </row>
    <row r="110" spans="2:11" ht="11.25" customHeight="1">
      <c r="B110" s="519"/>
      <c r="C110" s="520" t="s">
        <v>495</v>
      </c>
      <c r="D110" s="521" t="s">
        <v>716</v>
      </c>
      <c r="E110" s="1310" t="s">
        <v>717</v>
      </c>
      <c r="F110" s="1310"/>
      <c r="G110" s="517"/>
      <c r="H110" s="517"/>
      <c r="I110" s="518"/>
      <c r="J110" s="518"/>
      <c r="K110" s="686"/>
    </row>
    <row r="111" spans="2:11" ht="11.25" customHeight="1" thickBot="1">
      <c r="B111" s="522"/>
      <c r="C111" s="523" t="s">
        <v>498</v>
      </c>
      <c r="D111" s="524" t="s">
        <v>718</v>
      </c>
      <c r="E111" s="1311" t="s">
        <v>719</v>
      </c>
      <c r="F111" s="1311"/>
      <c r="G111" s="525"/>
      <c r="H111" s="526"/>
      <c r="I111" s="527"/>
      <c r="J111" s="527"/>
      <c r="K111" s="846"/>
    </row>
    <row r="112" spans="2:35" s="511" customFormat="1" ht="29.25" customHeight="1">
      <c r="B112" s="512" t="s">
        <v>516</v>
      </c>
      <c r="C112" s="513" t="s">
        <v>489</v>
      </c>
      <c r="D112" s="1308" t="s">
        <v>722</v>
      </c>
      <c r="E112" s="1308"/>
      <c r="F112" s="1308"/>
      <c r="G112" s="514"/>
      <c r="H112" s="514" t="s">
        <v>491</v>
      </c>
      <c r="I112" s="844"/>
      <c r="J112" s="844"/>
      <c r="K112" s="693" t="s">
        <v>1061</v>
      </c>
      <c r="L112" s="710"/>
      <c r="M112" s="710"/>
      <c r="N112" s="710"/>
      <c r="O112" s="710"/>
      <c r="P112" s="710"/>
      <c r="Q112" s="710"/>
      <c r="R112" s="710"/>
      <c r="S112" s="710"/>
      <c r="T112" s="710"/>
      <c r="U112" s="710"/>
      <c r="V112" s="710"/>
      <c r="W112" s="710"/>
      <c r="X112" s="710"/>
      <c r="Y112" s="710"/>
      <c r="Z112" s="710"/>
      <c r="AA112" s="710"/>
      <c r="AB112" s="710"/>
      <c r="AC112" s="710"/>
      <c r="AD112" s="710"/>
      <c r="AE112" s="710"/>
      <c r="AF112" s="710"/>
      <c r="AG112" s="710"/>
      <c r="AH112" s="710"/>
      <c r="AI112" s="710"/>
    </row>
    <row r="113" spans="2:11" ht="97.5" customHeight="1">
      <c r="B113" s="515" t="s">
        <v>714</v>
      </c>
      <c r="C113" s="516" t="s">
        <v>493</v>
      </c>
      <c r="D113" s="1328" t="s">
        <v>1172</v>
      </c>
      <c r="E113" s="1328"/>
      <c r="F113" s="1328"/>
      <c r="G113" s="517">
        <v>3</v>
      </c>
      <c r="H113" s="517" t="s">
        <v>494</v>
      </c>
      <c r="I113" s="859">
        <v>60000</v>
      </c>
      <c r="J113" s="840">
        <v>0</v>
      </c>
      <c r="K113" s="687">
        <f>I113+J113</f>
        <v>60000</v>
      </c>
    </row>
    <row r="114" spans="2:11" ht="11.25" customHeight="1">
      <c r="B114" s="546"/>
      <c r="C114" s="520" t="s">
        <v>495</v>
      </c>
      <c r="D114" s="521" t="s">
        <v>604</v>
      </c>
      <c r="E114" s="1310" t="s">
        <v>723</v>
      </c>
      <c r="F114" s="1310"/>
      <c r="G114" s="517"/>
      <c r="H114" s="517"/>
      <c r="I114" s="518"/>
      <c r="J114" s="518"/>
      <c r="K114" s="686"/>
    </row>
    <row r="115" spans="2:11" ht="11.25" customHeight="1" thickBot="1">
      <c r="B115" s="548"/>
      <c r="C115" s="531" t="s">
        <v>498</v>
      </c>
      <c r="D115" s="532" t="s">
        <v>724</v>
      </c>
      <c r="E115" s="1315" t="s">
        <v>725</v>
      </c>
      <c r="F115" s="1315"/>
      <c r="G115" s="533"/>
      <c r="H115" s="534"/>
      <c r="I115" s="535"/>
      <c r="J115" s="535"/>
      <c r="K115" s="847"/>
    </row>
    <row r="116" spans="2:35" s="511" customFormat="1" ht="28.5" customHeight="1">
      <c r="B116" s="512" t="s">
        <v>516</v>
      </c>
      <c r="C116" s="513" t="s">
        <v>489</v>
      </c>
      <c r="D116" s="1308" t="s">
        <v>980</v>
      </c>
      <c r="E116" s="1308"/>
      <c r="F116" s="1308"/>
      <c r="G116" s="514"/>
      <c r="H116" s="514" t="s">
        <v>491</v>
      </c>
      <c r="I116" s="844"/>
      <c r="J116" s="844"/>
      <c r="K116" s="845"/>
      <c r="L116" s="710"/>
      <c r="M116" s="710"/>
      <c r="N116" s="710"/>
      <c r="O116" s="710"/>
      <c r="P116" s="710"/>
      <c r="Q116" s="710"/>
      <c r="R116" s="710"/>
      <c r="S116" s="710"/>
      <c r="T116" s="710"/>
      <c r="U116" s="710"/>
      <c r="V116" s="710"/>
      <c r="W116" s="710"/>
      <c r="X116" s="710"/>
      <c r="Y116" s="710"/>
      <c r="Z116" s="710"/>
      <c r="AA116" s="710"/>
      <c r="AB116" s="710"/>
      <c r="AC116" s="710"/>
      <c r="AD116" s="710"/>
      <c r="AE116" s="710"/>
      <c r="AF116" s="710"/>
      <c r="AG116" s="710"/>
      <c r="AH116" s="710"/>
      <c r="AI116" s="710"/>
    </row>
    <row r="117" spans="2:11" ht="121.5" customHeight="1">
      <c r="B117" s="515" t="s">
        <v>714</v>
      </c>
      <c r="C117" s="516" t="s">
        <v>493</v>
      </c>
      <c r="D117" s="1329" t="s">
        <v>1176</v>
      </c>
      <c r="E117" s="1329"/>
      <c r="F117" s="1329"/>
      <c r="G117" s="730" t="s">
        <v>634</v>
      </c>
      <c r="H117" s="730" t="s">
        <v>494</v>
      </c>
      <c r="I117" s="859">
        <v>310000</v>
      </c>
      <c r="J117" s="840">
        <v>0</v>
      </c>
      <c r="K117" s="687">
        <f>I117+J117</f>
        <v>310000</v>
      </c>
    </row>
    <row r="118" spans="2:11" ht="12.75" customHeight="1">
      <c r="B118" s="519"/>
      <c r="C118" s="520" t="s">
        <v>495</v>
      </c>
      <c r="D118" s="521" t="s">
        <v>716</v>
      </c>
      <c r="E118" s="1310" t="s">
        <v>717</v>
      </c>
      <c r="F118" s="1310"/>
      <c r="G118" s="517"/>
      <c r="H118" s="517"/>
      <c r="I118" s="518"/>
      <c r="J118" s="518"/>
      <c r="K118" s="686"/>
    </row>
    <row r="119" spans="2:11" ht="12.75" customHeight="1" thickBot="1">
      <c r="B119" s="519"/>
      <c r="C119" s="516" t="s">
        <v>498</v>
      </c>
      <c r="D119" s="752" t="s">
        <v>718</v>
      </c>
      <c r="E119" s="1326" t="s">
        <v>719</v>
      </c>
      <c r="F119" s="1327"/>
      <c r="G119" s="517"/>
      <c r="H119" s="509"/>
      <c r="I119" s="540"/>
      <c r="J119" s="540"/>
      <c r="K119" s="850"/>
    </row>
    <row r="120" spans="2:11" ht="37.5" customHeight="1">
      <c r="B120" s="512" t="s">
        <v>516</v>
      </c>
      <c r="C120" s="513" t="s">
        <v>489</v>
      </c>
      <c r="D120" s="1341" t="s">
        <v>726</v>
      </c>
      <c r="E120" s="1342"/>
      <c r="F120" s="1343"/>
      <c r="G120" s="514"/>
      <c r="H120" s="514" t="s">
        <v>491</v>
      </c>
      <c r="I120" s="854"/>
      <c r="J120" s="854"/>
      <c r="K120" s="693" t="s">
        <v>1060</v>
      </c>
    </row>
    <row r="121" spans="2:11" ht="123" customHeight="1">
      <c r="B121" s="860" t="s">
        <v>714</v>
      </c>
      <c r="C121" s="516" t="s">
        <v>493</v>
      </c>
      <c r="D121" s="1344" t="s">
        <v>1178</v>
      </c>
      <c r="E121" s="1345"/>
      <c r="F121" s="1346"/>
      <c r="G121" s="517" t="s">
        <v>634</v>
      </c>
      <c r="H121" s="517" t="s">
        <v>494</v>
      </c>
      <c r="I121" s="859">
        <v>190000</v>
      </c>
      <c r="J121" s="840">
        <v>0</v>
      </c>
      <c r="K121" s="687">
        <f>I121+J121</f>
        <v>190000</v>
      </c>
    </row>
    <row r="122" spans="2:11" ht="12.75" customHeight="1">
      <c r="B122" s="519"/>
      <c r="C122" s="520" t="s">
        <v>495</v>
      </c>
      <c r="D122" s="521" t="s">
        <v>609</v>
      </c>
      <c r="E122" s="1339" t="s">
        <v>984</v>
      </c>
      <c r="F122" s="1340"/>
      <c r="G122" s="517"/>
      <c r="H122" s="517"/>
      <c r="I122" s="540"/>
      <c r="J122" s="540"/>
      <c r="K122" s="850"/>
    </row>
    <row r="123" spans="2:11" ht="12.75" customHeight="1" thickBot="1">
      <c r="B123" s="522"/>
      <c r="C123" s="523" t="s">
        <v>498</v>
      </c>
      <c r="D123" s="524" t="s">
        <v>985</v>
      </c>
      <c r="E123" s="858" t="s">
        <v>986</v>
      </c>
      <c r="F123" s="858"/>
      <c r="G123" s="525"/>
      <c r="H123" s="526"/>
      <c r="I123" s="527"/>
      <c r="J123" s="527"/>
      <c r="K123" s="846"/>
    </row>
    <row r="124" spans="2:35" s="511" customFormat="1" ht="36" customHeight="1">
      <c r="B124" s="536" t="s">
        <v>539</v>
      </c>
      <c r="C124" s="537" t="s">
        <v>489</v>
      </c>
      <c r="D124" s="1316" t="s">
        <v>981</v>
      </c>
      <c r="E124" s="1316"/>
      <c r="F124" s="1316"/>
      <c r="G124" s="538"/>
      <c r="H124" s="538" t="s">
        <v>491</v>
      </c>
      <c r="I124" s="848"/>
      <c r="J124" s="848"/>
      <c r="K124" s="849"/>
      <c r="L124" s="710"/>
      <c r="M124" s="710"/>
      <c r="N124" s="710"/>
      <c r="O124" s="710"/>
      <c r="P124" s="710"/>
      <c r="Q124" s="710"/>
      <c r="R124" s="710"/>
      <c r="S124" s="710"/>
      <c r="T124" s="710"/>
      <c r="U124" s="710"/>
      <c r="V124" s="710"/>
      <c r="W124" s="710"/>
      <c r="X124" s="710"/>
      <c r="Y124" s="710"/>
      <c r="Z124" s="710"/>
      <c r="AA124" s="710"/>
      <c r="AB124" s="710"/>
      <c r="AC124" s="710"/>
      <c r="AD124" s="710"/>
      <c r="AE124" s="710"/>
      <c r="AF124" s="710"/>
      <c r="AG124" s="710"/>
      <c r="AH124" s="710"/>
      <c r="AI124" s="710"/>
    </row>
    <row r="125" spans="2:11" ht="15.75" customHeight="1">
      <c r="B125" s="515" t="s">
        <v>982</v>
      </c>
      <c r="C125" s="516" t="s">
        <v>493</v>
      </c>
      <c r="D125" s="1317" t="s">
        <v>983</v>
      </c>
      <c r="E125" s="1317"/>
      <c r="F125" s="1317"/>
      <c r="G125" s="517" t="s">
        <v>549</v>
      </c>
      <c r="H125" s="517" t="s">
        <v>494</v>
      </c>
      <c r="I125" s="518">
        <v>654500</v>
      </c>
      <c r="J125" s="840">
        <v>0</v>
      </c>
      <c r="K125" s="686">
        <f>I125+J125</f>
        <v>654500</v>
      </c>
    </row>
    <row r="126" spans="2:11" ht="13.5" customHeight="1">
      <c r="B126" s="519"/>
      <c r="C126" s="520" t="s">
        <v>495</v>
      </c>
      <c r="D126" s="521" t="s">
        <v>609</v>
      </c>
      <c r="E126" s="1310" t="s">
        <v>984</v>
      </c>
      <c r="F126" s="1310"/>
      <c r="G126" s="517"/>
      <c r="H126" s="517"/>
      <c r="I126" s="518"/>
      <c r="J126" s="518"/>
      <c r="K126" s="686"/>
    </row>
    <row r="127" spans="2:11" ht="13.5" customHeight="1" thickBot="1">
      <c r="B127" s="522"/>
      <c r="C127" s="523" t="s">
        <v>498</v>
      </c>
      <c r="D127" s="524" t="s">
        <v>985</v>
      </c>
      <c r="E127" s="1311" t="s">
        <v>986</v>
      </c>
      <c r="F127" s="1311"/>
      <c r="G127" s="525"/>
      <c r="H127" s="526"/>
      <c r="I127" s="527"/>
      <c r="J127" s="527"/>
      <c r="K127" s="846"/>
    </row>
    <row r="128" spans="2:35" s="511" customFormat="1" ht="33" customHeight="1">
      <c r="B128" s="512" t="s">
        <v>516</v>
      </c>
      <c r="C128" s="513" t="s">
        <v>489</v>
      </c>
      <c r="D128" s="1322" t="s">
        <v>1167</v>
      </c>
      <c r="E128" s="1322"/>
      <c r="F128" s="1322"/>
      <c r="G128" s="514"/>
      <c r="H128" s="514" t="s">
        <v>491</v>
      </c>
      <c r="I128" s="844"/>
      <c r="J128" s="844"/>
      <c r="K128" s="845"/>
      <c r="L128" s="710"/>
      <c r="M128" s="710"/>
      <c r="N128" s="710"/>
      <c r="O128" s="710"/>
      <c r="P128" s="710"/>
      <c r="Q128" s="710"/>
      <c r="R128" s="710"/>
      <c r="S128" s="710"/>
      <c r="T128" s="710"/>
      <c r="U128" s="710"/>
      <c r="V128" s="710"/>
      <c r="W128" s="710"/>
      <c r="X128" s="710"/>
      <c r="Y128" s="710"/>
      <c r="Z128" s="710"/>
      <c r="AA128" s="710"/>
      <c r="AB128" s="710"/>
      <c r="AC128" s="710"/>
      <c r="AD128" s="710"/>
      <c r="AE128" s="710"/>
      <c r="AF128" s="710"/>
      <c r="AG128" s="710"/>
      <c r="AH128" s="710"/>
      <c r="AI128" s="710"/>
    </row>
    <row r="129" spans="2:11" ht="18" customHeight="1">
      <c r="B129" s="515" t="s">
        <v>982</v>
      </c>
      <c r="C129" s="516" t="s">
        <v>493</v>
      </c>
      <c r="D129" s="529" t="s">
        <v>1170</v>
      </c>
      <c r="E129" s="529"/>
      <c r="F129" s="529"/>
      <c r="G129" s="517" t="s">
        <v>634</v>
      </c>
      <c r="H129" s="517" t="s">
        <v>494</v>
      </c>
      <c r="I129" s="859">
        <v>35500</v>
      </c>
      <c r="J129" s="840">
        <f>'VLR 2012 a 2018 ATUALIZ média'!O118</f>
        <v>250000</v>
      </c>
      <c r="K129" s="687">
        <f>I129+J129</f>
        <v>285500</v>
      </c>
    </row>
    <row r="130" spans="2:11" ht="13.5" customHeight="1">
      <c r="B130" s="519"/>
      <c r="C130" s="520" t="s">
        <v>495</v>
      </c>
      <c r="D130" s="521" t="s">
        <v>609</v>
      </c>
      <c r="E130" s="1310" t="s">
        <v>984</v>
      </c>
      <c r="F130" s="1310"/>
      <c r="G130" s="517"/>
      <c r="H130" s="517"/>
      <c r="I130" s="518"/>
      <c r="J130" s="842"/>
      <c r="K130" s="687"/>
    </row>
    <row r="131" spans="2:11" ht="13.5" customHeight="1" thickBot="1">
      <c r="B131" s="522"/>
      <c r="C131" s="523" t="s">
        <v>498</v>
      </c>
      <c r="D131" s="524" t="s">
        <v>985</v>
      </c>
      <c r="E131" s="1311" t="s">
        <v>986</v>
      </c>
      <c r="F131" s="1311"/>
      <c r="G131" s="525"/>
      <c r="H131" s="526"/>
      <c r="I131" s="527"/>
      <c r="J131" s="527"/>
      <c r="K131" s="846"/>
    </row>
    <row r="132" spans="2:35" s="511" customFormat="1" ht="30" customHeight="1" hidden="1">
      <c r="B132" s="682" t="s">
        <v>516</v>
      </c>
      <c r="C132" s="513" t="s">
        <v>489</v>
      </c>
      <c r="D132" s="1330" t="s">
        <v>12</v>
      </c>
      <c r="E132" s="1330"/>
      <c r="F132" s="1330"/>
      <c r="G132" s="514"/>
      <c r="H132" s="514" t="s">
        <v>491</v>
      </c>
      <c r="I132" s="844"/>
      <c r="J132" s="844">
        <v>1</v>
      </c>
      <c r="K132" s="845">
        <v>1</v>
      </c>
      <c r="L132" s="710"/>
      <c r="M132" s="710"/>
      <c r="N132" s="710"/>
      <c r="O132" s="710"/>
      <c r="P132" s="710"/>
      <c r="Q132" s="710"/>
      <c r="R132" s="710"/>
      <c r="S132" s="710"/>
      <c r="T132" s="710"/>
      <c r="U132" s="710"/>
      <c r="V132" s="710"/>
      <c r="W132" s="710"/>
      <c r="X132" s="710"/>
      <c r="Y132" s="710"/>
      <c r="Z132" s="710"/>
      <c r="AA132" s="710"/>
      <c r="AB132" s="710"/>
      <c r="AC132" s="710"/>
      <c r="AD132" s="710"/>
      <c r="AE132" s="710"/>
      <c r="AF132" s="710"/>
      <c r="AG132" s="710"/>
      <c r="AH132" s="710"/>
      <c r="AI132" s="710"/>
    </row>
    <row r="133" spans="2:11" ht="15.75" customHeight="1" hidden="1">
      <c r="B133" s="515" t="s">
        <v>982</v>
      </c>
      <c r="C133" s="683" t="s">
        <v>493</v>
      </c>
      <c r="D133" s="684" t="s">
        <v>13</v>
      </c>
      <c r="E133" s="684"/>
      <c r="F133" s="684"/>
      <c r="G133" s="517" t="s">
        <v>634</v>
      </c>
      <c r="H133" s="517" t="s">
        <v>494</v>
      </c>
      <c r="I133" s="842">
        <v>0</v>
      </c>
      <c r="J133" s="842">
        <v>0</v>
      </c>
      <c r="K133" s="687">
        <f>I133+J133</f>
        <v>0</v>
      </c>
    </row>
    <row r="134" spans="2:11" ht="11.25" customHeight="1" hidden="1">
      <c r="B134" s="546"/>
      <c r="C134" s="520" t="s">
        <v>495</v>
      </c>
      <c r="D134" s="521" t="s">
        <v>609</v>
      </c>
      <c r="E134" s="1310" t="s">
        <v>984</v>
      </c>
      <c r="F134" s="1310"/>
      <c r="G134" s="517"/>
      <c r="H134" s="517"/>
      <c r="I134" s="842"/>
      <c r="J134" s="842"/>
      <c r="K134" s="687"/>
    </row>
    <row r="135" spans="2:11" ht="11.25" customHeight="1" hidden="1" thickBot="1">
      <c r="B135" s="547"/>
      <c r="C135" s="685" t="s">
        <v>498</v>
      </c>
      <c r="D135" s="524" t="s">
        <v>985</v>
      </c>
      <c r="E135" s="1311" t="s">
        <v>986</v>
      </c>
      <c r="F135" s="1311"/>
      <c r="G135" s="525"/>
      <c r="H135" s="526"/>
      <c r="I135" s="527"/>
      <c r="J135" s="527"/>
      <c r="K135" s="846"/>
    </row>
    <row r="136" spans="2:35" s="511" customFormat="1" ht="33.75" customHeight="1">
      <c r="B136" s="512" t="s">
        <v>539</v>
      </c>
      <c r="C136" s="513" t="s">
        <v>489</v>
      </c>
      <c r="D136" s="1308" t="s">
        <v>1168</v>
      </c>
      <c r="E136" s="1308"/>
      <c r="F136" s="1308"/>
      <c r="G136" s="514"/>
      <c r="H136" s="514" t="s">
        <v>491</v>
      </c>
      <c r="I136" s="844"/>
      <c r="J136" s="844"/>
      <c r="K136" s="693"/>
      <c r="L136" s="710"/>
      <c r="M136" s="710"/>
      <c r="N136" s="710"/>
      <c r="O136" s="710"/>
      <c r="P136" s="710"/>
      <c r="Q136" s="710"/>
      <c r="R136" s="710"/>
      <c r="S136" s="710"/>
      <c r="T136" s="710"/>
      <c r="U136" s="710"/>
      <c r="V136" s="710"/>
      <c r="W136" s="710"/>
      <c r="X136" s="710"/>
      <c r="Y136" s="710"/>
      <c r="Z136" s="710"/>
      <c r="AA136" s="710"/>
      <c r="AB136" s="710"/>
      <c r="AC136" s="710"/>
      <c r="AD136" s="710"/>
      <c r="AE136" s="710"/>
      <c r="AF136" s="710"/>
      <c r="AG136" s="710"/>
      <c r="AH136" s="710"/>
      <c r="AI136" s="710"/>
    </row>
    <row r="137" spans="2:11" ht="13.5" customHeight="1">
      <c r="B137" s="515" t="s">
        <v>982</v>
      </c>
      <c r="C137" s="516" t="s">
        <v>493</v>
      </c>
      <c r="D137" s="529" t="s">
        <v>987</v>
      </c>
      <c r="E137" s="529"/>
      <c r="F137" s="529"/>
      <c r="G137" s="517" t="s">
        <v>549</v>
      </c>
      <c r="H137" s="517" t="s">
        <v>494</v>
      </c>
      <c r="I137" s="518">
        <v>40000</v>
      </c>
      <c r="J137" s="840">
        <v>0</v>
      </c>
      <c r="K137" s="686">
        <f>I137+J137</f>
        <v>40000</v>
      </c>
    </row>
    <row r="138" spans="2:11" ht="11.25" customHeight="1">
      <c r="B138" s="519"/>
      <c r="C138" s="520" t="s">
        <v>495</v>
      </c>
      <c r="D138" s="521" t="s">
        <v>609</v>
      </c>
      <c r="E138" s="1310" t="s">
        <v>984</v>
      </c>
      <c r="F138" s="1310"/>
      <c r="G138" s="517"/>
      <c r="H138" s="517"/>
      <c r="I138" s="518"/>
      <c r="J138" s="518"/>
      <c r="K138" s="686"/>
    </row>
    <row r="139" spans="2:11" ht="11.25" customHeight="1" thickBot="1">
      <c r="B139" s="522"/>
      <c r="C139" s="523" t="s">
        <v>498</v>
      </c>
      <c r="D139" s="524" t="s">
        <v>988</v>
      </c>
      <c r="E139" s="1311" t="s">
        <v>989</v>
      </c>
      <c r="F139" s="1311"/>
      <c r="G139" s="525"/>
      <c r="H139" s="526"/>
      <c r="I139" s="527"/>
      <c r="J139" s="527"/>
      <c r="K139" s="846"/>
    </row>
    <row r="140" spans="2:35" s="511" customFormat="1" ht="30.75" customHeight="1">
      <c r="B140" s="512" t="s">
        <v>539</v>
      </c>
      <c r="C140" s="513" t="s">
        <v>489</v>
      </c>
      <c r="D140" s="1308" t="s">
        <v>1169</v>
      </c>
      <c r="E140" s="1308"/>
      <c r="F140" s="1308"/>
      <c r="G140" s="514"/>
      <c r="H140" s="514" t="s">
        <v>491</v>
      </c>
      <c r="I140" s="844"/>
      <c r="J140" s="844"/>
      <c r="K140" s="693"/>
      <c r="L140" s="710"/>
      <c r="M140" s="710"/>
      <c r="N140" s="710"/>
      <c r="O140" s="710"/>
      <c r="P140" s="710"/>
      <c r="Q140" s="710"/>
      <c r="R140" s="710"/>
      <c r="S140" s="710"/>
      <c r="T140" s="710"/>
      <c r="U140" s="710"/>
      <c r="V140" s="710"/>
      <c r="W140" s="710"/>
      <c r="X140" s="710"/>
      <c r="Y140" s="710"/>
      <c r="Z140" s="710"/>
      <c r="AA140" s="710"/>
      <c r="AB140" s="710"/>
      <c r="AC140" s="710"/>
      <c r="AD140" s="710"/>
      <c r="AE140" s="710"/>
      <c r="AF140" s="710"/>
      <c r="AG140" s="710"/>
      <c r="AH140" s="710"/>
      <c r="AI140" s="710"/>
    </row>
    <row r="141" spans="2:11" ht="15" customHeight="1">
      <c r="B141" s="515" t="s">
        <v>982</v>
      </c>
      <c r="C141" s="516" t="s">
        <v>493</v>
      </c>
      <c r="D141" s="529" t="s">
        <v>987</v>
      </c>
      <c r="E141" s="529"/>
      <c r="F141" s="529"/>
      <c r="G141" s="517" t="s">
        <v>549</v>
      </c>
      <c r="H141" s="517" t="s">
        <v>494</v>
      </c>
      <c r="I141" s="518">
        <v>40000</v>
      </c>
      <c r="J141" s="840">
        <v>0</v>
      </c>
      <c r="K141" s="686">
        <f>I141+J141</f>
        <v>40000</v>
      </c>
    </row>
    <row r="142" spans="2:11" ht="11.25" customHeight="1">
      <c r="B142" s="519"/>
      <c r="C142" s="520" t="s">
        <v>495</v>
      </c>
      <c r="D142" s="521" t="s">
        <v>609</v>
      </c>
      <c r="E142" s="1310" t="s">
        <v>984</v>
      </c>
      <c r="F142" s="1310"/>
      <c r="G142" s="517"/>
      <c r="H142" s="517"/>
      <c r="I142" s="518"/>
      <c r="J142" s="518"/>
      <c r="K142" s="686"/>
    </row>
    <row r="143" spans="2:11" ht="11.25" customHeight="1" thickBot="1">
      <c r="B143" s="522"/>
      <c r="C143" s="523" t="s">
        <v>498</v>
      </c>
      <c r="D143" s="524" t="s">
        <v>990</v>
      </c>
      <c r="E143" s="1311" t="s">
        <v>991</v>
      </c>
      <c r="F143" s="1311"/>
      <c r="G143" s="525"/>
      <c r="H143" s="526"/>
      <c r="I143" s="527"/>
      <c r="J143" s="527"/>
      <c r="K143" s="846"/>
    </row>
    <row r="144" spans="2:35" s="511" customFormat="1" ht="24.75" customHeight="1" hidden="1">
      <c r="B144" s="549" t="s">
        <v>516</v>
      </c>
      <c r="C144" s="513" t="s">
        <v>489</v>
      </c>
      <c r="D144" s="1323" t="s">
        <v>992</v>
      </c>
      <c r="E144" s="1323"/>
      <c r="F144" s="1323"/>
      <c r="G144" s="514"/>
      <c r="H144" s="514" t="s">
        <v>491</v>
      </c>
      <c r="I144" s="844">
        <v>1</v>
      </c>
      <c r="J144" s="844"/>
      <c r="K144" s="845"/>
      <c r="L144" s="710"/>
      <c r="M144" s="710"/>
      <c r="N144" s="710"/>
      <c r="O144" s="710"/>
      <c r="P144" s="710"/>
      <c r="Q144" s="710"/>
      <c r="R144" s="710"/>
      <c r="S144" s="710"/>
      <c r="T144" s="710"/>
      <c r="U144" s="710"/>
      <c r="V144" s="710"/>
      <c r="W144" s="710"/>
      <c r="X144" s="710"/>
      <c r="Y144" s="710"/>
      <c r="Z144" s="710"/>
      <c r="AA144" s="710"/>
      <c r="AB144" s="710"/>
      <c r="AC144" s="710"/>
      <c r="AD144" s="710"/>
      <c r="AE144" s="710"/>
      <c r="AF144" s="710"/>
      <c r="AG144" s="710"/>
      <c r="AH144" s="710"/>
      <c r="AI144" s="710"/>
    </row>
    <row r="145" spans="2:11" ht="11.25" customHeight="1" hidden="1">
      <c r="B145" s="515" t="s">
        <v>993</v>
      </c>
      <c r="C145" s="516" t="s">
        <v>493</v>
      </c>
      <c r="D145" s="529" t="s">
        <v>702</v>
      </c>
      <c r="E145" s="529"/>
      <c r="F145" s="529"/>
      <c r="G145" s="517" t="s">
        <v>634</v>
      </c>
      <c r="H145" s="517" t="s">
        <v>494</v>
      </c>
      <c r="I145" s="518">
        <v>0</v>
      </c>
      <c r="J145" s="518">
        <v>0</v>
      </c>
      <c r="K145" s="686">
        <f>I145+J145</f>
        <v>0</v>
      </c>
    </row>
    <row r="146" spans="2:11" ht="11.25" customHeight="1" hidden="1">
      <c r="B146" s="546"/>
      <c r="C146" s="520" t="s">
        <v>495</v>
      </c>
      <c r="D146" s="521" t="s">
        <v>611</v>
      </c>
      <c r="E146" s="1310" t="s">
        <v>994</v>
      </c>
      <c r="F146" s="1310"/>
      <c r="G146" s="517"/>
      <c r="H146" s="517"/>
      <c r="I146" s="518"/>
      <c r="J146" s="518"/>
      <c r="K146" s="686"/>
    </row>
    <row r="147" spans="2:11" ht="11.25" customHeight="1" hidden="1" thickBot="1">
      <c r="B147" s="547"/>
      <c r="C147" s="523" t="s">
        <v>498</v>
      </c>
      <c r="D147" s="524" t="s">
        <v>995</v>
      </c>
      <c r="E147" s="1311" t="s">
        <v>996</v>
      </c>
      <c r="F147" s="1311"/>
      <c r="G147" s="525"/>
      <c r="H147" s="526"/>
      <c r="I147" s="527"/>
      <c r="J147" s="527"/>
      <c r="K147" s="846"/>
    </row>
    <row r="148" spans="2:35" s="511" customFormat="1" ht="27" customHeight="1">
      <c r="B148" s="512" t="s">
        <v>539</v>
      </c>
      <c r="C148" s="513" t="s">
        <v>489</v>
      </c>
      <c r="D148" s="1308" t="s">
        <v>997</v>
      </c>
      <c r="E148" s="1308"/>
      <c r="F148" s="1308"/>
      <c r="G148" s="514"/>
      <c r="H148" s="514" t="s">
        <v>491</v>
      </c>
      <c r="I148" s="844"/>
      <c r="J148" s="844"/>
      <c r="K148" s="693" t="s">
        <v>1059</v>
      </c>
      <c r="L148" s="710"/>
      <c r="M148" s="710"/>
      <c r="N148" s="710"/>
      <c r="O148" s="710"/>
      <c r="P148" s="710"/>
      <c r="Q148" s="710"/>
      <c r="R148" s="710"/>
      <c r="S148" s="710"/>
      <c r="T148" s="710"/>
      <c r="U148" s="710"/>
      <c r="V148" s="710"/>
      <c r="W148" s="710"/>
      <c r="X148" s="710"/>
      <c r="Y148" s="710"/>
      <c r="Z148" s="710"/>
      <c r="AA148" s="710"/>
      <c r="AB148" s="710"/>
      <c r="AC148" s="710"/>
      <c r="AD148" s="710"/>
      <c r="AE148" s="710"/>
      <c r="AF148" s="710"/>
      <c r="AG148" s="710"/>
      <c r="AH148" s="710"/>
      <c r="AI148" s="710"/>
    </row>
    <row r="149" spans="2:11" ht="15" customHeight="1">
      <c r="B149" s="515" t="s">
        <v>998</v>
      </c>
      <c r="C149" s="516" t="s">
        <v>493</v>
      </c>
      <c r="D149" s="1317" t="s">
        <v>999</v>
      </c>
      <c r="E149" s="1317"/>
      <c r="F149" s="1317"/>
      <c r="G149" s="517" t="s">
        <v>549</v>
      </c>
      <c r="H149" s="517" t="s">
        <v>494</v>
      </c>
      <c r="I149" s="518">
        <v>15000</v>
      </c>
      <c r="J149" s="840">
        <v>0</v>
      </c>
      <c r="K149" s="686">
        <f>I149+J149</f>
        <v>15000</v>
      </c>
    </row>
    <row r="150" spans="2:11" ht="11.25" customHeight="1">
      <c r="B150" s="519"/>
      <c r="C150" s="520" t="s">
        <v>495</v>
      </c>
      <c r="D150" s="521" t="s">
        <v>612</v>
      </c>
      <c r="E150" s="1310" t="s">
        <v>519</v>
      </c>
      <c r="F150" s="1310"/>
      <c r="G150" s="517"/>
      <c r="H150" s="517"/>
      <c r="I150" s="518"/>
      <c r="J150" s="518"/>
      <c r="K150" s="686"/>
    </row>
    <row r="151" spans="2:11" ht="11.25" customHeight="1" thickBot="1">
      <c r="B151" s="522"/>
      <c r="C151" s="523" t="s">
        <v>498</v>
      </c>
      <c r="D151" s="524" t="s">
        <v>1000</v>
      </c>
      <c r="E151" s="1311" t="s">
        <v>1001</v>
      </c>
      <c r="F151" s="1311"/>
      <c r="G151" s="525"/>
      <c r="H151" s="526"/>
      <c r="I151" s="527"/>
      <c r="J151" s="527"/>
      <c r="K151" s="846"/>
    </row>
    <row r="152" spans="2:35" s="511" customFormat="1" ht="29.25" customHeight="1" hidden="1">
      <c r="B152" s="512" t="s">
        <v>516</v>
      </c>
      <c r="C152" s="513" t="s">
        <v>489</v>
      </c>
      <c r="D152" s="1308" t="s">
        <v>1002</v>
      </c>
      <c r="E152" s="1308"/>
      <c r="F152" s="1308"/>
      <c r="G152" s="514"/>
      <c r="H152" s="514" t="s">
        <v>491</v>
      </c>
      <c r="I152" s="844">
        <v>1</v>
      </c>
      <c r="J152" s="844"/>
      <c r="K152" s="845"/>
      <c r="L152" s="710"/>
      <c r="M152" s="710"/>
      <c r="N152" s="710"/>
      <c r="O152" s="710"/>
      <c r="P152" s="710"/>
      <c r="Q152" s="710"/>
      <c r="R152" s="710"/>
      <c r="S152" s="710"/>
      <c r="T152" s="710"/>
      <c r="U152" s="710"/>
      <c r="V152" s="710"/>
      <c r="W152" s="710"/>
      <c r="X152" s="710"/>
      <c r="Y152" s="710"/>
      <c r="Z152" s="710"/>
      <c r="AA152" s="710"/>
      <c r="AB152" s="710"/>
      <c r="AC152" s="710"/>
      <c r="AD152" s="710"/>
      <c r="AE152" s="710"/>
      <c r="AF152" s="710"/>
      <c r="AG152" s="710"/>
      <c r="AH152" s="710"/>
      <c r="AI152" s="710"/>
    </row>
    <row r="153" spans="2:11" ht="60.75" customHeight="1" hidden="1">
      <c r="B153" s="515" t="s">
        <v>1003</v>
      </c>
      <c r="C153" s="516" t="s">
        <v>493</v>
      </c>
      <c r="D153" s="1347" t="s">
        <v>1004</v>
      </c>
      <c r="E153" s="1347"/>
      <c r="F153" s="1347"/>
      <c r="G153" s="517" t="s">
        <v>634</v>
      </c>
      <c r="H153" s="517" t="s">
        <v>494</v>
      </c>
      <c r="I153" s="518">
        <v>0</v>
      </c>
      <c r="J153" s="518">
        <v>0</v>
      </c>
      <c r="K153" s="686">
        <f>I153+J153</f>
        <v>0</v>
      </c>
    </row>
    <row r="154" spans="2:11" ht="11.25" customHeight="1" hidden="1">
      <c r="B154" s="519"/>
      <c r="C154" s="520" t="s">
        <v>495</v>
      </c>
      <c r="D154" s="521" t="s">
        <v>1005</v>
      </c>
      <c r="E154" s="1310" t="s">
        <v>1006</v>
      </c>
      <c r="F154" s="1310"/>
      <c r="G154" s="517"/>
      <c r="H154" s="517"/>
      <c r="I154" s="518"/>
      <c r="J154" s="518"/>
      <c r="K154" s="686"/>
    </row>
    <row r="155" spans="2:11" ht="11.25" customHeight="1" hidden="1" thickBot="1">
      <c r="B155" s="530"/>
      <c r="C155" s="531" t="s">
        <v>498</v>
      </c>
      <c r="D155" s="532" t="s">
        <v>1007</v>
      </c>
      <c r="E155" s="1315" t="s">
        <v>1008</v>
      </c>
      <c r="F155" s="1315"/>
      <c r="G155" s="533"/>
      <c r="H155" s="534"/>
      <c r="I155" s="535"/>
      <c r="J155" s="535"/>
      <c r="K155" s="847"/>
    </row>
    <row r="156" spans="2:35" s="511" customFormat="1" ht="33.75" customHeight="1">
      <c r="B156" s="512" t="s">
        <v>539</v>
      </c>
      <c r="C156" s="513" t="s">
        <v>489</v>
      </c>
      <c r="D156" s="1308" t="s">
        <v>1076</v>
      </c>
      <c r="E156" s="1308"/>
      <c r="F156" s="1308"/>
      <c r="G156" s="514"/>
      <c r="H156" s="514" t="s">
        <v>491</v>
      </c>
      <c r="I156" s="844"/>
      <c r="J156" s="844"/>
      <c r="K156" s="845"/>
      <c r="L156" s="710"/>
      <c r="M156" s="710"/>
      <c r="N156" s="710"/>
      <c r="O156" s="710"/>
      <c r="P156" s="710"/>
      <c r="Q156" s="710"/>
      <c r="R156" s="710"/>
      <c r="S156" s="710"/>
      <c r="T156" s="710"/>
      <c r="U156" s="710"/>
      <c r="V156" s="710"/>
      <c r="W156" s="710"/>
      <c r="X156" s="710"/>
      <c r="Y156" s="710"/>
      <c r="Z156" s="710"/>
      <c r="AA156" s="710"/>
      <c r="AB156" s="710"/>
      <c r="AC156" s="710"/>
      <c r="AD156" s="710"/>
      <c r="AE156" s="710"/>
      <c r="AF156" s="710"/>
      <c r="AG156" s="710"/>
      <c r="AH156" s="710"/>
      <c r="AI156" s="710"/>
    </row>
    <row r="157" spans="2:11" ht="11.25" customHeight="1">
      <c r="B157" s="515" t="s">
        <v>1009</v>
      </c>
      <c r="C157" s="516" t="s">
        <v>493</v>
      </c>
      <c r="D157" s="1317" t="s">
        <v>1010</v>
      </c>
      <c r="E157" s="1317"/>
      <c r="F157" s="1317"/>
      <c r="G157" s="517" t="s">
        <v>549</v>
      </c>
      <c r="H157" s="517" t="s">
        <v>494</v>
      </c>
      <c r="I157" s="518">
        <v>50000</v>
      </c>
      <c r="J157" s="840">
        <f>'VLR 2012 a 2018 ATUALIZ média'!O120+'VLR 2012 a 2018 ATUALIZ média'!O122</f>
        <v>31000</v>
      </c>
      <c r="K157" s="686">
        <f>I157+J157</f>
        <v>81000</v>
      </c>
    </row>
    <row r="158" spans="2:11" ht="11.25" customHeight="1">
      <c r="B158" s="519"/>
      <c r="C158" s="520" t="s">
        <v>495</v>
      </c>
      <c r="D158" s="521" t="s">
        <v>635</v>
      </c>
      <c r="E158" s="1310" t="s">
        <v>636</v>
      </c>
      <c r="F158" s="1310"/>
      <c r="G158" s="517"/>
      <c r="H158" s="517"/>
      <c r="I158" s="518"/>
      <c r="J158" s="518"/>
      <c r="K158" s="686"/>
    </row>
    <row r="159" spans="2:11" ht="11.25" customHeight="1" thickBot="1">
      <c r="B159" s="522"/>
      <c r="C159" s="523" t="s">
        <v>498</v>
      </c>
      <c r="D159" s="524" t="s">
        <v>637</v>
      </c>
      <c r="E159" s="1311" t="s">
        <v>638</v>
      </c>
      <c r="F159" s="1311"/>
      <c r="G159" s="525"/>
      <c r="H159" s="526"/>
      <c r="I159" s="527"/>
      <c r="J159" s="527"/>
      <c r="K159" s="846"/>
    </row>
    <row r="160" spans="2:35" s="511" customFormat="1" ht="27.75" customHeight="1">
      <c r="B160" s="512" t="s">
        <v>539</v>
      </c>
      <c r="C160" s="513" t="s">
        <v>489</v>
      </c>
      <c r="D160" s="1308" t="s">
        <v>1165</v>
      </c>
      <c r="E160" s="1308"/>
      <c r="F160" s="1308"/>
      <c r="G160" s="538"/>
      <c r="H160" s="514" t="s">
        <v>491</v>
      </c>
      <c r="I160" s="844"/>
      <c r="J160" s="844"/>
      <c r="K160" s="693"/>
      <c r="L160" s="710"/>
      <c r="M160" s="710"/>
      <c r="N160" s="710"/>
      <c r="O160" s="710"/>
      <c r="P160" s="710"/>
      <c r="Q160" s="710"/>
      <c r="R160" s="710"/>
      <c r="S160" s="710"/>
      <c r="T160" s="710"/>
      <c r="U160" s="710"/>
      <c r="V160" s="710"/>
      <c r="W160" s="710"/>
      <c r="X160" s="710"/>
      <c r="Y160" s="710"/>
      <c r="Z160" s="710"/>
      <c r="AA160" s="710"/>
      <c r="AB160" s="710"/>
      <c r="AC160" s="710"/>
      <c r="AD160" s="710"/>
      <c r="AE160" s="710"/>
      <c r="AF160" s="710"/>
      <c r="AG160" s="710"/>
      <c r="AH160" s="710"/>
      <c r="AI160" s="710"/>
    </row>
    <row r="161" spans="2:11" ht="11.25" customHeight="1">
      <c r="B161" s="515" t="s">
        <v>1012</v>
      </c>
      <c r="C161" s="516" t="s">
        <v>493</v>
      </c>
      <c r="D161" s="1317" t="s">
        <v>1013</v>
      </c>
      <c r="E161" s="1317"/>
      <c r="F161" s="1317"/>
      <c r="G161" s="517" t="s">
        <v>549</v>
      </c>
      <c r="H161" s="517" t="s">
        <v>494</v>
      </c>
      <c r="I161" s="518">
        <v>200000</v>
      </c>
      <c r="J161" s="840">
        <v>0</v>
      </c>
      <c r="K161" s="686">
        <f>I161+J161</f>
        <v>200000</v>
      </c>
    </row>
    <row r="162" spans="2:11" ht="11.25" customHeight="1">
      <c r="B162" s="519"/>
      <c r="C162" s="520" t="s">
        <v>495</v>
      </c>
      <c r="D162" s="521" t="s">
        <v>602</v>
      </c>
      <c r="E162" s="1310" t="s">
        <v>694</v>
      </c>
      <c r="F162" s="1310"/>
      <c r="G162" s="517"/>
      <c r="H162" s="517"/>
      <c r="I162" s="518"/>
      <c r="J162" s="518"/>
      <c r="K162" s="686"/>
    </row>
    <row r="163" spans="2:11" ht="11.25" customHeight="1" thickBot="1">
      <c r="B163" s="522"/>
      <c r="C163" s="523" t="s">
        <v>498</v>
      </c>
      <c r="D163" s="524" t="s">
        <v>695</v>
      </c>
      <c r="E163" s="1311" t="s">
        <v>696</v>
      </c>
      <c r="F163" s="1311"/>
      <c r="G163" s="525"/>
      <c r="H163" s="526"/>
      <c r="I163" s="527"/>
      <c r="J163" s="527"/>
      <c r="K163" s="846"/>
    </row>
    <row r="164" spans="2:35" s="511" customFormat="1" ht="26.25" customHeight="1">
      <c r="B164" s="512" t="s">
        <v>539</v>
      </c>
      <c r="C164" s="513" t="s">
        <v>489</v>
      </c>
      <c r="D164" s="1308" t="s">
        <v>1014</v>
      </c>
      <c r="E164" s="1308"/>
      <c r="F164" s="1308"/>
      <c r="G164" s="514"/>
      <c r="H164" s="514" t="s">
        <v>491</v>
      </c>
      <c r="I164" s="844"/>
      <c r="J164" s="844"/>
      <c r="K164" s="845"/>
      <c r="L164" s="710"/>
      <c r="M164" s="710"/>
      <c r="N164" s="710"/>
      <c r="O164" s="710"/>
      <c r="P164" s="710"/>
      <c r="Q164" s="710"/>
      <c r="R164" s="710"/>
      <c r="S164" s="710"/>
      <c r="T164" s="710"/>
      <c r="U164" s="710"/>
      <c r="V164" s="710"/>
      <c r="W164" s="710"/>
      <c r="X164" s="710"/>
      <c r="Y164" s="710"/>
      <c r="Z164" s="710"/>
      <c r="AA164" s="710"/>
      <c r="AB164" s="710"/>
      <c r="AC164" s="710"/>
      <c r="AD164" s="710"/>
      <c r="AE164" s="710"/>
      <c r="AF164" s="710"/>
      <c r="AG164" s="710"/>
      <c r="AH164" s="710"/>
      <c r="AI164" s="710"/>
    </row>
    <row r="165" spans="2:11" ht="11.25" customHeight="1">
      <c r="B165" s="550" t="s">
        <v>1015</v>
      </c>
      <c r="C165" s="516" t="s">
        <v>493</v>
      </c>
      <c r="D165" s="1317" t="s">
        <v>1016</v>
      </c>
      <c r="E165" s="1317"/>
      <c r="F165" s="1317"/>
      <c r="G165" s="517" t="s">
        <v>549</v>
      </c>
      <c r="H165" s="517" t="s">
        <v>494</v>
      </c>
      <c r="I165" s="842">
        <v>1720000</v>
      </c>
      <c r="J165" s="840">
        <v>127100</v>
      </c>
      <c r="K165" s="686">
        <f>I165+J165</f>
        <v>1847100</v>
      </c>
    </row>
    <row r="166" spans="2:11" ht="11.25" customHeight="1">
      <c r="B166" s="519"/>
      <c r="C166" s="520" t="s">
        <v>495</v>
      </c>
      <c r="D166" s="521" t="s">
        <v>599</v>
      </c>
      <c r="E166" s="1310" t="s">
        <v>1017</v>
      </c>
      <c r="F166" s="1310"/>
      <c r="G166" s="517"/>
      <c r="H166" s="517"/>
      <c r="I166" s="518"/>
      <c r="J166" s="518"/>
      <c r="K166" s="686"/>
    </row>
    <row r="167" spans="2:11" ht="11.25" customHeight="1" thickBot="1">
      <c r="B167" s="522"/>
      <c r="C167" s="523" t="s">
        <v>498</v>
      </c>
      <c r="D167" s="524" t="s">
        <v>1018</v>
      </c>
      <c r="E167" s="1311" t="s">
        <v>1019</v>
      </c>
      <c r="F167" s="1311"/>
      <c r="G167" s="525"/>
      <c r="H167" s="526"/>
      <c r="I167" s="527"/>
      <c r="J167" s="527"/>
      <c r="K167" s="846"/>
    </row>
    <row r="168" spans="2:11" ht="11.25" customHeight="1">
      <c r="B168" s="512" t="s">
        <v>516</v>
      </c>
      <c r="C168" s="513" t="s">
        <v>489</v>
      </c>
      <c r="D168" s="1322" t="s">
        <v>1074</v>
      </c>
      <c r="E168" s="1322"/>
      <c r="F168" s="1322"/>
      <c r="G168" s="514"/>
      <c r="H168" s="514" t="s">
        <v>491</v>
      </c>
      <c r="I168" s="844"/>
      <c r="J168" s="844"/>
      <c r="K168" s="845"/>
    </row>
    <row r="169" spans="2:11" ht="11.25" customHeight="1">
      <c r="B169" s="515" t="s">
        <v>1015</v>
      </c>
      <c r="C169" s="516" t="s">
        <v>493</v>
      </c>
      <c r="D169" s="1317" t="s">
        <v>1073</v>
      </c>
      <c r="E169" s="1317"/>
      <c r="F169" s="1317"/>
      <c r="G169" s="517" t="s">
        <v>549</v>
      </c>
      <c r="H169" s="517" t="s">
        <v>494</v>
      </c>
      <c r="I169" s="859">
        <v>30000</v>
      </c>
      <c r="J169" s="840">
        <f>'VLR 2012 a 2018 ATUALIZ média'!O127</f>
        <v>50000</v>
      </c>
      <c r="K169" s="686">
        <f>I169+J169</f>
        <v>80000</v>
      </c>
    </row>
    <row r="170" spans="2:11" ht="11.25" customHeight="1">
      <c r="B170" s="519"/>
      <c r="C170" s="520" t="s">
        <v>495</v>
      </c>
      <c r="D170" s="521" t="s">
        <v>599</v>
      </c>
      <c r="E170" s="1310" t="s">
        <v>1017</v>
      </c>
      <c r="F170" s="1310"/>
      <c r="G170" s="517"/>
      <c r="H170" s="517"/>
      <c r="I170" s="518"/>
      <c r="J170" s="518"/>
      <c r="K170" s="686"/>
    </row>
    <row r="171" spans="2:11" ht="11.25" customHeight="1" thickBot="1">
      <c r="B171" s="522"/>
      <c r="C171" s="523" t="s">
        <v>498</v>
      </c>
      <c r="D171" s="524" t="s">
        <v>1018</v>
      </c>
      <c r="E171" s="1338" t="s">
        <v>1019</v>
      </c>
      <c r="F171" s="1338"/>
      <c r="G171" s="525"/>
      <c r="H171" s="526"/>
      <c r="I171" s="527"/>
      <c r="J171" s="527"/>
      <c r="K171" s="846"/>
    </row>
    <row r="172" spans="2:35" s="511" customFormat="1" ht="24.75" customHeight="1">
      <c r="B172" s="551" t="s">
        <v>539</v>
      </c>
      <c r="C172" s="552" t="s">
        <v>489</v>
      </c>
      <c r="D172" s="1336" t="s">
        <v>1020</v>
      </c>
      <c r="E172" s="1336"/>
      <c r="F172" s="1336"/>
      <c r="G172" s="553"/>
      <c r="H172" s="553" t="s">
        <v>491</v>
      </c>
      <c r="I172" s="554"/>
      <c r="J172" s="554"/>
      <c r="K172" s="855"/>
      <c r="L172" s="710"/>
      <c r="M172" s="710"/>
      <c r="N172" s="710"/>
      <c r="O172" s="710"/>
      <c r="P172" s="710"/>
      <c r="Q172" s="710"/>
      <c r="R172" s="710"/>
      <c r="S172" s="710"/>
      <c r="T172" s="710"/>
      <c r="U172" s="710"/>
      <c r="V172" s="710"/>
      <c r="W172" s="710"/>
      <c r="X172" s="710"/>
      <c r="Y172" s="710"/>
      <c r="Z172" s="710"/>
      <c r="AA172" s="710"/>
      <c r="AB172" s="710"/>
      <c r="AC172" s="710"/>
      <c r="AD172" s="710"/>
      <c r="AE172" s="710"/>
      <c r="AF172" s="710"/>
      <c r="AG172" s="710"/>
      <c r="AH172" s="710"/>
      <c r="AI172" s="710"/>
    </row>
    <row r="173" spans="2:11" ht="11.25" customHeight="1">
      <c r="B173" s="843" t="s">
        <v>1021</v>
      </c>
      <c r="C173" s="683" t="s">
        <v>493</v>
      </c>
      <c r="D173" s="1337" t="s">
        <v>1022</v>
      </c>
      <c r="E173" s="1337"/>
      <c r="F173" s="1337"/>
      <c r="G173" s="555" t="s">
        <v>549</v>
      </c>
      <c r="H173" s="555" t="s">
        <v>494</v>
      </c>
      <c r="I173" s="842">
        <v>172256</v>
      </c>
      <c r="J173" s="842">
        <v>40051</v>
      </c>
      <c r="K173" s="686">
        <f>I173+J173</f>
        <v>212307</v>
      </c>
    </row>
    <row r="174" spans="2:11" ht="11.25" customHeight="1">
      <c r="B174" s="557"/>
      <c r="C174" s="558" t="s">
        <v>495</v>
      </c>
      <c r="D174" s="559" t="s">
        <v>1023</v>
      </c>
      <c r="E174" s="1331" t="s">
        <v>1024</v>
      </c>
      <c r="F174" s="1331"/>
      <c r="G174" s="555"/>
      <c r="H174" s="555"/>
      <c r="I174" s="556"/>
      <c r="J174" s="556"/>
      <c r="K174" s="856"/>
    </row>
    <row r="175" spans="2:11" ht="11.25" customHeight="1" thickBot="1">
      <c r="B175" s="560"/>
      <c r="C175" s="561" t="s">
        <v>498</v>
      </c>
      <c r="D175" s="562" t="s">
        <v>1025</v>
      </c>
      <c r="E175" s="1332" t="s">
        <v>1026</v>
      </c>
      <c r="F175" s="1332"/>
      <c r="G175" s="563"/>
      <c r="H175" s="564"/>
      <c r="I175" s="565"/>
      <c r="J175" s="565"/>
      <c r="K175" s="857"/>
    </row>
    <row r="176" spans="2:11" ht="12.75">
      <c r="B176" s="1333" t="s">
        <v>1027</v>
      </c>
      <c r="C176" s="1334"/>
      <c r="D176" s="1334"/>
      <c r="E176" s="1334"/>
      <c r="F176" s="1334"/>
      <c r="G176" s="1334"/>
      <c r="H176" s="1334"/>
      <c r="I176" s="1334"/>
      <c r="J176" s="1334"/>
      <c r="K176" s="1335"/>
    </row>
    <row r="177" spans="2:11" ht="46.5" customHeight="1">
      <c r="B177" s="992" t="s">
        <v>1177</v>
      </c>
      <c r="C177" s="1274"/>
      <c r="D177" s="1274"/>
      <c r="E177" s="1274"/>
      <c r="F177" s="1274"/>
      <c r="G177" s="1274"/>
      <c r="H177" s="1274"/>
      <c r="I177" s="1274"/>
      <c r="J177" s="1274"/>
      <c r="K177" s="993"/>
    </row>
  </sheetData>
  <sheetProtection/>
  <mergeCells count="247">
    <mergeCell ref="E163:F163"/>
    <mergeCell ref="D157:F157"/>
    <mergeCell ref="E171:F171"/>
    <mergeCell ref="E122:F122"/>
    <mergeCell ref="D120:F120"/>
    <mergeCell ref="D121:F121"/>
    <mergeCell ref="E158:F158"/>
    <mergeCell ref="E159:F159"/>
    <mergeCell ref="E146:F146"/>
    <mergeCell ref="D144:F144"/>
    <mergeCell ref="D168:F168"/>
    <mergeCell ref="D169:F169"/>
    <mergeCell ref="E170:F170"/>
    <mergeCell ref="E175:F175"/>
    <mergeCell ref="B176:K176"/>
    <mergeCell ref="O75:P75"/>
    <mergeCell ref="O76:P76"/>
    <mergeCell ref="D172:F172"/>
    <mergeCell ref="D173:F173"/>
    <mergeCell ref="E162:F162"/>
    <mergeCell ref="O56:P56"/>
    <mergeCell ref="N57:P57"/>
    <mergeCell ref="N58:P58"/>
    <mergeCell ref="E174:F174"/>
    <mergeCell ref="D164:F164"/>
    <mergeCell ref="D165:F165"/>
    <mergeCell ref="E166:F166"/>
    <mergeCell ref="E167:F167"/>
    <mergeCell ref="D160:F160"/>
    <mergeCell ref="D161:F161"/>
    <mergeCell ref="E155:F155"/>
    <mergeCell ref="D156:F156"/>
    <mergeCell ref="D149:F149"/>
    <mergeCell ref="E150:F150"/>
    <mergeCell ref="E151:F151"/>
    <mergeCell ref="D152:F152"/>
    <mergeCell ref="D153:F153"/>
    <mergeCell ref="E154:F154"/>
    <mergeCell ref="E147:F147"/>
    <mergeCell ref="D148:F148"/>
    <mergeCell ref="D140:F140"/>
    <mergeCell ref="E142:F142"/>
    <mergeCell ref="E143:F143"/>
    <mergeCell ref="D125:F125"/>
    <mergeCell ref="E139:F139"/>
    <mergeCell ref="E126:F126"/>
    <mergeCell ref="E127:F127"/>
    <mergeCell ref="D128:F128"/>
    <mergeCell ref="N49:P49"/>
    <mergeCell ref="O51:P51"/>
    <mergeCell ref="O52:P52"/>
    <mergeCell ref="O60:P60"/>
    <mergeCell ref="N61:P61"/>
    <mergeCell ref="O63:P63"/>
    <mergeCell ref="O59:P59"/>
    <mergeCell ref="N53:P53"/>
    <mergeCell ref="N54:P54"/>
    <mergeCell ref="O55:P55"/>
    <mergeCell ref="N74:P74"/>
    <mergeCell ref="E135:F135"/>
    <mergeCell ref="D136:F136"/>
    <mergeCell ref="E138:F138"/>
    <mergeCell ref="E130:F130"/>
    <mergeCell ref="E131:F131"/>
    <mergeCell ref="D132:F132"/>
    <mergeCell ref="E134:F134"/>
    <mergeCell ref="E118:F118"/>
    <mergeCell ref="E83:F83"/>
    <mergeCell ref="O48:P48"/>
    <mergeCell ref="D124:F124"/>
    <mergeCell ref="N65:P65"/>
    <mergeCell ref="O67:P67"/>
    <mergeCell ref="O68:P68"/>
    <mergeCell ref="N70:P70"/>
    <mergeCell ref="O71:P71"/>
    <mergeCell ref="D117:F117"/>
    <mergeCell ref="O72:P72"/>
    <mergeCell ref="N73:P73"/>
    <mergeCell ref="E119:F119"/>
    <mergeCell ref="D112:F112"/>
    <mergeCell ref="D113:F113"/>
    <mergeCell ref="E114:F114"/>
    <mergeCell ref="E115:F115"/>
    <mergeCell ref="N34:P34"/>
    <mergeCell ref="O35:P35"/>
    <mergeCell ref="O36:P36"/>
    <mergeCell ref="N37:P37"/>
    <mergeCell ref="N38:P38"/>
    <mergeCell ref="N69:P69"/>
    <mergeCell ref="O64:P64"/>
    <mergeCell ref="N45:P45"/>
    <mergeCell ref="O39:P39"/>
    <mergeCell ref="N46:P46"/>
    <mergeCell ref="N30:P30"/>
    <mergeCell ref="O31:P31"/>
    <mergeCell ref="O32:P32"/>
    <mergeCell ref="N33:P33"/>
    <mergeCell ref="O47:P47"/>
    <mergeCell ref="D116:F116"/>
    <mergeCell ref="O40:P40"/>
    <mergeCell ref="N41:P41"/>
    <mergeCell ref="N42:P42"/>
    <mergeCell ref="O43:P43"/>
    <mergeCell ref="O44:P44"/>
    <mergeCell ref="D109:F109"/>
    <mergeCell ref="E110:F110"/>
    <mergeCell ref="E111:F111"/>
    <mergeCell ref="D104:F104"/>
    <mergeCell ref="N26:P26"/>
    <mergeCell ref="O27:P27"/>
    <mergeCell ref="O28:P28"/>
    <mergeCell ref="N29:P29"/>
    <mergeCell ref="N22:P22"/>
    <mergeCell ref="O23:P23"/>
    <mergeCell ref="O24:P24"/>
    <mergeCell ref="N25:P25"/>
    <mergeCell ref="D105:F105"/>
    <mergeCell ref="E106:F106"/>
    <mergeCell ref="E107:F107"/>
    <mergeCell ref="D108:F108"/>
    <mergeCell ref="E102:F102"/>
    <mergeCell ref="E103:F103"/>
    <mergeCell ref="N13:P13"/>
    <mergeCell ref="O15:P15"/>
    <mergeCell ref="O16:P16"/>
    <mergeCell ref="N17:P17"/>
    <mergeCell ref="N18:P18"/>
    <mergeCell ref="O19:P19"/>
    <mergeCell ref="O20:P20"/>
    <mergeCell ref="N21:P21"/>
    <mergeCell ref="E98:F98"/>
    <mergeCell ref="E99:F99"/>
    <mergeCell ref="D100:F100"/>
    <mergeCell ref="D101:F101"/>
    <mergeCell ref="D92:F92"/>
    <mergeCell ref="E94:F94"/>
    <mergeCell ref="E95:F95"/>
    <mergeCell ref="D96:F96"/>
    <mergeCell ref="D88:F88"/>
    <mergeCell ref="D89:F89"/>
    <mergeCell ref="E90:F90"/>
    <mergeCell ref="E91:F91"/>
    <mergeCell ref="N9:P9"/>
    <mergeCell ref="N10:P10"/>
    <mergeCell ref="O11:P11"/>
    <mergeCell ref="O12:P12"/>
    <mergeCell ref="D84:F84"/>
    <mergeCell ref="D85:F85"/>
    <mergeCell ref="E86:F86"/>
    <mergeCell ref="E87:F87"/>
    <mergeCell ref="D76:F76"/>
    <mergeCell ref="E78:F78"/>
    <mergeCell ref="E79:F79"/>
    <mergeCell ref="N77:P77"/>
    <mergeCell ref="N78:P78"/>
    <mergeCell ref="O79:P79"/>
    <mergeCell ref="D80:F80"/>
    <mergeCell ref="E82:F82"/>
    <mergeCell ref="D72:F72"/>
    <mergeCell ref="D73:F73"/>
    <mergeCell ref="E74:F74"/>
    <mergeCell ref="E75:F75"/>
    <mergeCell ref="D68:F68"/>
    <mergeCell ref="D69:F69"/>
    <mergeCell ref="E70:F70"/>
    <mergeCell ref="E71:F71"/>
    <mergeCell ref="D64:F64"/>
    <mergeCell ref="D65:F65"/>
    <mergeCell ref="E66:F66"/>
    <mergeCell ref="E67:F67"/>
    <mergeCell ref="D61:F61"/>
    <mergeCell ref="E62:F62"/>
    <mergeCell ref="E63:F63"/>
    <mergeCell ref="N1:P1"/>
    <mergeCell ref="N2:P2"/>
    <mergeCell ref="O3:P3"/>
    <mergeCell ref="O4:P4"/>
    <mergeCell ref="N5:P5"/>
    <mergeCell ref="O7:P7"/>
    <mergeCell ref="O8:P8"/>
    <mergeCell ref="D57:F57"/>
    <mergeCell ref="E58:F58"/>
    <mergeCell ref="E59:F59"/>
    <mergeCell ref="D60:F60"/>
    <mergeCell ref="D53:F53"/>
    <mergeCell ref="E54:F54"/>
    <mergeCell ref="E55:F55"/>
    <mergeCell ref="D56:F56"/>
    <mergeCell ref="D49:F49"/>
    <mergeCell ref="E50:F50"/>
    <mergeCell ref="E51:F51"/>
    <mergeCell ref="D52:F52"/>
    <mergeCell ref="D45:F45"/>
    <mergeCell ref="E46:F46"/>
    <mergeCell ref="E47:F47"/>
    <mergeCell ref="D48:F48"/>
    <mergeCell ref="D41:F41"/>
    <mergeCell ref="E42:F42"/>
    <mergeCell ref="E43:F43"/>
    <mergeCell ref="D44:F44"/>
    <mergeCell ref="D37:F37"/>
    <mergeCell ref="E38:F38"/>
    <mergeCell ref="E39:F39"/>
    <mergeCell ref="D40:F40"/>
    <mergeCell ref="D33:F33"/>
    <mergeCell ref="E34:F34"/>
    <mergeCell ref="E35:F35"/>
    <mergeCell ref="D36:F36"/>
    <mergeCell ref="D28:F28"/>
    <mergeCell ref="E30:F30"/>
    <mergeCell ref="E31:F31"/>
    <mergeCell ref="D32:F32"/>
    <mergeCell ref="D24:F24"/>
    <mergeCell ref="D25:F25"/>
    <mergeCell ref="E26:F26"/>
    <mergeCell ref="E27:F27"/>
    <mergeCell ref="D20:F20"/>
    <mergeCell ref="D21:F21"/>
    <mergeCell ref="E22:F22"/>
    <mergeCell ref="E23:F23"/>
    <mergeCell ref="D16:F16"/>
    <mergeCell ref="D17:F17"/>
    <mergeCell ref="E18:F18"/>
    <mergeCell ref="E19:F19"/>
    <mergeCell ref="D12:F12"/>
    <mergeCell ref="D13:F13"/>
    <mergeCell ref="E14:F14"/>
    <mergeCell ref="E15:F15"/>
    <mergeCell ref="B2:K2"/>
    <mergeCell ref="H10:H11"/>
    <mergeCell ref="I10:I11"/>
    <mergeCell ref="J10:J11"/>
    <mergeCell ref="K10:K11"/>
    <mergeCell ref="D9:F9"/>
    <mergeCell ref="B10:B11"/>
    <mergeCell ref="C10:F11"/>
    <mergeCell ref="G10:G11"/>
    <mergeCell ref="B177:K177"/>
    <mergeCell ref="B1:J1"/>
    <mergeCell ref="G8:H8"/>
    <mergeCell ref="B6:K6"/>
    <mergeCell ref="B7:E7"/>
    <mergeCell ref="I7:K7"/>
    <mergeCell ref="B8:E8"/>
    <mergeCell ref="B5:K5"/>
    <mergeCell ref="B4:K4"/>
    <mergeCell ref="B3:K3"/>
  </mergeCells>
  <printOptions/>
  <pageMargins left="0.25" right="0.25" top="0.75" bottom="0.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codeName="Plan9">
    <pageSetUpPr fitToPage="1"/>
  </sheetPr>
  <dimension ref="A1:F31"/>
  <sheetViews>
    <sheetView showGridLines="0" zoomScale="75" zoomScaleNormal="75" zoomScalePageLayoutView="0" workbookViewId="0" topLeftCell="A1">
      <pane xSplit="1" ySplit="7" topLeftCell="B25" activePane="bottomRight" state="frozen"/>
      <selection pane="topLeft" activeCell="A3" sqref="A3:I3"/>
      <selection pane="topRight" activeCell="A3" sqref="A3:I3"/>
      <selection pane="bottomLeft" activeCell="A3" sqref="A3:I3"/>
      <selection pane="bottomRight" activeCell="B30" sqref="B30"/>
    </sheetView>
  </sheetViews>
  <sheetFormatPr defaultColWidth="9.140625" defaultRowHeight="24" customHeight="1"/>
  <cols>
    <col min="1" max="1" width="73.421875" style="6" customWidth="1"/>
    <col min="2" max="9" width="22.7109375" style="6" customWidth="1"/>
    <col min="10" max="16384" width="9.140625" style="6" customWidth="1"/>
  </cols>
  <sheetData>
    <row r="1" s="5" customFormat="1" ht="24" customHeight="1">
      <c r="A1" s="5" t="s">
        <v>459</v>
      </c>
    </row>
    <row r="2" s="5" customFormat="1" ht="24" customHeight="1">
      <c r="A2" s="5" t="e">
        <f>#REF!</f>
        <v>#REF!</v>
      </c>
    </row>
    <row r="3" spans="1:5" s="5" customFormat="1" ht="24" customHeight="1">
      <c r="A3" s="5" t="s">
        <v>460</v>
      </c>
      <c r="E3" s="8"/>
    </row>
    <row r="4" s="5" customFormat="1" ht="24" customHeight="1">
      <c r="A4" s="5" t="s">
        <v>115</v>
      </c>
    </row>
    <row r="5" ht="24" customHeight="1">
      <c r="F5" s="11" t="s">
        <v>377</v>
      </c>
    </row>
    <row r="6" spans="1:6" ht="24" customHeight="1" hidden="1">
      <c r="A6" s="24"/>
      <c r="B6" s="1348" t="s">
        <v>114</v>
      </c>
      <c r="C6" s="1348"/>
      <c r="D6" s="1348"/>
      <c r="E6" s="1348"/>
      <c r="F6" s="1348"/>
    </row>
    <row r="7" spans="1:6" ht="24" customHeight="1">
      <c r="A7" s="12"/>
      <c r="B7" s="12">
        <v>2001</v>
      </c>
      <c r="C7" s="12">
        <v>2002</v>
      </c>
      <c r="D7" s="12">
        <v>2003</v>
      </c>
      <c r="E7" s="12">
        <v>2004</v>
      </c>
      <c r="F7" s="12">
        <v>2005</v>
      </c>
    </row>
    <row r="8" spans="1:6" ht="24" customHeight="1" hidden="1">
      <c r="A8" s="13" t="s">
        <v>382</v>
      </c>
      <c r="B8" s="7" t="e">
        <f>SUM(B9:B13)</f>
        <v>#REF!</v>
      </c>
      <c r="C8" s="7" t="e">
        <f>SUM(C9:C13)</f>
        <v>#REF!</v>
      </c>
      <c r="D8" s="7" t="e">
        <f>SUM(D9:D13)</f>
        <v>#REF!</v>
      </c>
      <c r="E8" s="7" t="e">
        <f>SUM(E9:E13)</f>
        <v>#REF!</v>
      </c>
      <c r="F8" s="7" t="e">
        <f>SUM(F9:F13)</f>
        <v>#REF!</v>
      </c>
    </row>
    <row r="9" spans="1:6" ht="24" customHeight="1" hidden="1">
      <c r="A9" s="10" t="s">
        <v>383</v>
      </c>
      <c r="B9" s="2" t="e">
        <f>+#REF!</f>
        <v>#REF!</v>
      </c>
      <c r="C9" s="2" t="e">
        <f>+#REF!</f>
        <v>#REF!</v>
      </c>
      <c r="D9" s="2" t="e">
        <f>+#REF!</f>
        <v>#REF!</v>
      </c>
      <c r="E9" s="2" t="e">
        <f>+#REF!</f>
        <v>#REF!</v>
      </c>
      <c r="F9" s="2" t="e">
        <f>+#REF!</f>
        <v>#REF!</v>
      </c>
    </row>
    <row r="10" spans="1:6" ht="24" customHeight="1" hidden="1">
      <c r="A10" s="10" t="s">
        <v>384</v>
      </c>
      <c r="B10" s="2" t="e">
        <f>+#REF!</f>
        <v>#REF!</v>
      </c>
      <c r="C10" s="2" t="e">
        <f>+#REF!</f>
        <v>#REF!</v>
      </c>
      <c r="D10" s="2" t="e">
        <f>+#REF!</f>
        <v>#REF!</v>
      </c>
      <c r="E10" s="2" t="e">
        <f>+#REF!</f>
        <v>#REF!</v>
      </c>
      <c r="F10" s="2" t="e">
        <f>+#REF!</f>
        <v>#REF!</v>
      </c>
    </row>
    <row r="11" spans="1:6" ht="24" customHeight="1" hidden="1">
      <c r="A11" s="10" t="s">
        <v>385</v>
      </c>
      <c r="B11" s="2" t="e">
        <f>+#REF!</f>
        <v>#REF!</v>
      </c>
      <c r="C11" s="2" t="e">
        <f>+#REF!</f>
        <v>#REF!</v>
      </c>
      <c r="D11" s="2" t="e">
        <f>+#REF!</f>
        <v>#REF!</v>
      </c>
      <c r="E11" s="2" t="e">
        <f>+#REF!</f>
        <v>#REF!</v>
      </c>
      <c r="F11" s="2" t="e">
        <f>+#REF!</f>
        <v>#REF!</v>
      </c>
    </row>
    <row r="12" spans="1:6" ht="24" customHeight="1" hidden="1">
      <c r="A12" s="10" t="s">
        <v>386</v>
      </c>
      <c r="B12" s="2"/>
      <c r="C12" s="2"/>
      <c r="D12" s="2"/>
      <c r="E12" s="2"/>
      <c r="F12" s="2"/>
    </row>
    <row r="13" spans="1:6" ht="24" customHeight="1" hidden="1">
      <c r="A13" s="10" t="s">
        <v>461</v>
      </c>
      <c r="B13" s="2" t="e">
        <f>+#REF!</f>
        <v>#REF!</v>
      </c>
      <c r="C13" s="2" t="e">
        <f>+#REF!</f>
        <v>#REF!</v>
      </c>
      <c r="D13" s="2" t="e">
        <f>+#REF!</f>
        <v>#REF!</v>
      </c>
      <c r="E13" s="2" t="e">
        <f>+#REF!</f>
        <v>#REF!</v>
      </c>
      <c r="F13" s="2" t="e">
        <f>+#REF!</f>
        <v>#REF!</v>
      </c>
    </row>
    <row r="14" spans="1:6" ht="24" customHeight="1" hidden="1">
      <c r="A14" s="14" t="s">
        <v>387</v>
      </c>
      <c r="B14" s="7" t="e">
        <f>SUM(B15:B21)</f>
        <v>#REF!</v>
      </c>
      <c r="C14" s="7" t="e">
        <f>SUM(C15:C21)</f>
        <v>#REF!</v>
      </c>
      <c r="D14" s="7" t="e">
        <f>SUM(D15:D21)</f>
        <v>#REF!</v>
      </c>
      <c r="E14" s="7" t="e">
        <f>SUM(E15:E21)</f>
        <v>#REF!</v>
      </c>
      <c r="F14" s="7" t="e">
        <f>SUM(F15:F21)</f>
        <v>#REF!</v>
      </c>
    </row>
    <row r="15" spans="1:6" ht="24" customHeight="1" hidden="1">
      <c r="A15" s="10" t="s">
        <v>462</v>
      </c>
      <c r="B15" s="2" t="e">
        <f>+#REF!</f>
        <v>#REF!</v>
      </c>
      <c r="C15" s="2" t="e">
        <f>+#REF!</f>
        <v>#REF!</v>
      </c>
      <c r="D15" s="2" t="e">
        <f>+#REF!</f>
        <v>#REF!</v>
      </c>
      <c r="E15" s="2" t="e">
        <f>+#REF!</f>
        <v>#REF!</v>
      </c>
      <c r="F15" s="2" t="e">
        <f>+#REF!</f>
        <v>#REF!</v>
      </c>
    </row>
    <row r="16" spans="1:6" ht="24" customHeight="1" hidden="1">
      <c r="A16" s="10" t="s">
        <v>388</v>
      </c>
      <c r="B16" s="2" t="e">
        <f>+#REF!</f>
        <v>#REF!</v>
      </c>
      <c r="C16" s="2" t="e">
        <f>+#REF!</f>
        <v>#REF!</v>
      </c>
      <c r="D16" s="2" t="e">
        <f>+#REF!</f>
        <v>#REF!</v>
      </c>
      <c r="E16" s="2" t="e">
        <f>+#REF!</f>
        <v>#REF!</v>
      </c>
      <c r="F16" s="2" t="e">
        <f>+#REF!</f>
        <v>#REF!</v>
      </c>
    </row>
    <row r="17" spans="1:6" ht="24" customHeight="1" hidden="1">
      <c r="A17" s="10" t="s">
        <v>389</v>
      </c>
      <c r="B17" s="2" t="e">
        <f>+#REF!</f>
        <v>#REF!</v>
      </c>
      <c r="C17" s="2" t="e">
        <f>+#REF!</f>
        <v>#REF!</v>
      </c>
      <c r="D17" s="2" t="e">
        <f>+#REF!</f>
        <v>#REF!</v>
      </c>
      <c r="E17" s="2" t="e">
        <f>+#REF!</f>
        <v>#REF!</v>
      </c>
      <c r="F17" s="2" t="e">
        <f>+#REF!</f>
        <v>#REF!</v>
      </c>
    </row>
    <row r="18" spans="1:6" ht="24" customHeight="1" hidden="1">
      <c r="A18" s="10" t="s">
        <v>455</v>
      </c>
      <c r="B18" s="2" t="e">
        <f>+#REF!</f>
        <v>#REF!</v>
      </c>
      <c r="C18" s="2" t="e">
        <f>+#REF!</f>
        <v>#REF!</v>
      </c>
      <c r="D18" s="2" t="e">
        <f>+#REF!</f>
        <v>#REF!</v>
      </c>
      <c r="E18" s="2" t="e">
        <f>+#REF!</f>
        <v>#REF!</v>
      </c>
      <c r="F18" s="2" t="e">
        <f>+#REF!</f>
        <v>#REF!</v>
      </c>
    </row>
    <row r="19" spans="1:6" ht="24" customHeight="1" hidden="1">
      <c r="A19" s="10" t="s">
        <v>456</v>
      </c>
      <c r="B19" s="2" t="e">
        <f>+#REF!</f>
        <v>#REF!</v>
      </c>
      <c r="C19" s="2" t="e">
        <f>+#REF!</f>
        <v>#REF!</v>
      </c>
      <c r="D19" s="2" t="e">
        <f>+#REF!</f>
        <v>#REF!</v>
      </c>
      <c r="E19" s="2" t="e">
        <f>+#REF!</f>
        <v>#REF!</v>
      </c>
      <c r="F19" s="2" t="e">
        <f>+#REF!</f>
        <v>#REF!</v>
      </c>
    </row>
    <row r="20" spans="1:6" ht="24" customHeight="1" hidden="1">
      <c r="A20" s="10" t="s">
        <v>457</v>
      </c>
      <c r="B20" s="2" t="e">
        <f>+#REF!</f>
        <v>#REF!</v>
      </c>
      <c r="C20" s="2" t="e">
        <f>+#REF!</f>
        <v>#REF!</v>
      </c>
      <c r="D20" s="2" t="e">
        <f>+#REF!</f>
        <v>#REF!</v>
      </c>
      <c r="E20" s="2" t="e">
        <f>+#REF!</f>
        <v>#REF!</v>
      </c>
      <c r="F20" s="2" t="e">
        <f>+#REF!</f>
        <v>#REF!</v>
      </c>
    </row>
    <row r="21" spans="1:6" ht="24" customHeight="1" hidden="1">
      <c r="A21" s="10" t="s">
        <v>458</v>
      </c>
      <c r="B21" s="2" t="e">
        <f>+#REF!</f>
        <v>#REF!</v>
      </c>
      <c r="C21" s="2" t="e">
        <f>+#REF!</f>
        <v>#REF!</v>
      </c>
      <c r="D21" s="2" t="e">
        <f>+#REF!</f>
        <v>#REF!</v>
      </c>
      <c r="E21" s="2" t="e">
        <f>+#REF!</f>
        <v>#REF!</v>
      </c>
      <c r="F21" s="2" t="e">
        <f>+#REF!</f>
        <v>#REF!</v>
      </c>
    </row>
    <row r="22" spans="1:6" ht="24" customHeight="1" hidden="1">
      <c r="A22" s="15" t="s">
        <v>463</v>
      </c>
      <c r="B22" s="16" t="e">
        <f>B8+B14</f>
        <v>#REF!</v>
      </c>
      <c r="C22" s="16" t="e">
        <f>C8+C14</f>
        <v>#REF!</v>
      </c>
      <c r="D22" s="16" t="e">
        <f>D8+D14</f>
        <v>#REF!</v>
      </c>
      <c r="E22" s="16" t="e">
        <f>E8+E14</f>
        <v>#REF!</v>
      </c>
      <c r="F22" s="16" t="e">
        <f>F8+F14</f>
        <v>#REF!</v>
      </c>
    </row>
    <row r="23" spans="1:6" ht="24" customHeight="1" hidden="1">
      <c r="A23" s="17" t="s">
        <v>464</v>
      </c>
      <c r="B23" s="18"/>
      <c r="C23" s="19"/>
      <c r="D23" s="9"/>
      <c r="E23" s="9"/>
      <c r="F23" s="9"/>
    </row>
    <row r="24" spans="1:6" ht="24" customHeight="1" hidden="1">
      <c r="A24" s="20" t="s">
        <v>96</v>
      </c>
      <c r="B24" s="21">
        <v>0.07</v>
      </c>
      <c r="C24" s="19"/>
      <c r="D24" s="9"/>
      <c r="E24" s="9"/>
      <c r="F24" s="9"/>
    </row>
    <row r="25" spans="1:6" ht="24" customHeight="1">
      <c r="A25" s="22" t="s">
        <v>465</v>
      </c>
      <c r="B25" s="23"/>
      <c r="C25" s="23"/>
      <c r="D25" s="23"/>
      <c r="E25" s="23"/>
      <c r="F25" s="23"/>
    </row>
    <row r="26" spans="1:6" ht="24" customHeight="1">
      <c r="A26" s="1" t="str">
        <f>CONCATENATE("Legislativo Total (A) = ",TEXT(B24,"0,0%")," de Base de Cálculo")</f>
        <v>Legislativo Total (A) = 7,0% de Base de Cálculo</v>
      </c>
      <c r="B26" s="4" t="e">
        <f>#REF!/#REF!</f>
        <v>#REF!</v>
      </c>
      <c r="C26" s="4" t="e">
        <f>#REF!/#REF!</f>
        <v>#REF!</v>
      </c>
      <c r="D26" s="4" t="e">
        <f>#REF!/#REF!</f>
        <v>#REF!</v>
      </c>
      <c r="E26" s="4" t="e">
        <f>#REF!/#REF!</f>
        <v>#REF!</v>
      </c>
      <c r="F26" s="4" t="e">
        <f>#REF!/#REF!</f>
        <v>#REF!</v>
      </c>
    </row>
    <row r="27" spans="1:6" ht="24" customHeight="1">
      <c r="A27" s="1" t="s">
        <v>116</v>
      </c>
      <c r="B27" s="4" t="e">
        <f>+B26*70%</f>
        <v>#REF!</v>
      </c>
      <c r="C27" s="4" t="e">
        <f>+C26*70%</f>
        <v>#REF!</v>
      </c>
      <c r="D27" s="4" t="e">
        <f>+D26*70%</f>
        <v>#REF!</v>
      </c>
      <c r="E27" s="4" t="e">
        <f>+E26*70%</f>
        <v>#REF!</v>
      </c>
      <c r="F27" s="4" t="e">
        <f>+F26*70%</f>
        <v>#REF!</v>
      </c>
    </row>
    <row r="28" spans="2:6" ht="24" customHeight="1">
      <c r="B28" s="25"/>
      <c r="C28" s="26"/>
      <c r="D28" s="3"/>
      <c r="E28" s="3"/>
      <c r="F28" s="3"/>
    </row>
    <row r="29" spans="1:6" ht="24" customHeight="1">
      <c r="A29" s="22" t="s">
        <v>466</v>
      </c>
      <c r="B29" s="27"/>
      <c r="C29" s="27"/>
      <c r="D29" s="27"/>
      <c r="E29" s="27"/>
      <c r="F29" s="27"/>
    </row>
    <row r="30" spans="1:6" ht="24" customHeight="1">
      <c r="A30" s="1" t="s">
        <v>467</v>
      </c>
      <c r="B30" s="4" t="e">
        <f>#REF!/#REF!</f>
        <v>#REF!</v>
      </c>
      <c r="C30" s="4" t="e">
        <f>#REF!/#REF!</f>
        <v>#REF!</v>
      </c>
      <c r="D30" s="4" t="e">
        <f>#REF!/#REF!</f>
        <v>#REF!</v>
      </c>
      <c r="E30" s="4" t="e">
        <f>#REF!/#REF!</f>
        <v>#REF!</v>
      </c>
      <c r="F30" s="4" t="e">
        <f>#REF!/#REF!</f>
        <v>#REF!</v>
      </c>
    </row>
    <row r="31" spans="1:6" ht="24" customHeight="1">
      <c r="A31" s="1" t="s">
        <v>468</v>
      </c>
      <c r="B31" s="4" t="e">
        <f>#REF!/#REF!</f>
        <v>#REF!</v>
      </c>
      <c r="C31" s="4" t="e">
        <f>#REF!/#REF!</f>
        <v>#REF!</v>
      </c>
      <c r="D31" s="4" t="e">
        <f>#REF!/#REF!</f>
        <v>#REF!</v>
      </c>
      <c r="E31" s="4" t="e">
        <f>#REF!/#REF!</f>
        <v>#REF!</v>
      </c>
      <c r="F31" s="4" t="e">
        <f>#REF!/#REF!</f>
        <v>#REF!</v>
      </c>
    </row>
  </sheetData>
  <sheetProtection/>
  <mergeCells count="1">
    <mergeCell ref="B6:F6"/>
  </mergeCells>
  <printOptions horizontalCentered="1" verticalCentered="1"/>
  <pageMargins left="0.5905511811023623" right="0.5905511811023623" top="0.5905511811023623" bottom="0.5905511811023623" header="0.31496062992125984" footer="0.31496062992125984"/>
  <pageSetup fitToHeight="1" fitToWidth="1" horizontalDpi="300" verticalDpi="300" orientation="landscape" paperSize="9" scale="73" r:id="rId1"/>
</worksheet>
</file>

<file path=xl/worksheets/sheet18.xml><?xml version="1.0" encoding="utf-8"?>
<worksheet xmlns="http://schemas.openxmlformats.org/spreadsheetml/2006/main" xmlns:r="http://schemas.openxmlformats.org/officeDocument/2006/relationships">
  <sheetPr codeName="Plan11">
    <pageSetUpPr fitToPage="1"/>
  </sheetPr>
  <dimension ref="A1:F37"/>
  <sheetViews>
    <sheetView zoomScale="75" zoomScaleNormal="75" zoomScalePageLayoutView="0" workbookViewId="0" topLeftCell="A1">
      <pane xSplit="1" ySplit="5" topLeftCell="B6" activePane="bottomRight" state="frozen"/>
      <selection pane="topLeft" activeCell="B12" sqref="B12"/>
      <selection pane="topRight" activeCell="B12" sqref="B12"/>
      <selection pane="bottomLeft" activeCell="B12" sqref="B12"/>
      <selection pane="bottomRight" activeCell="B12" sqref="B12"/>
    </sheetView>
  </sheetViews>
  <sheetFormatPr defaultColWidth="9.140625" defaultRowHeight="12.75"/>
  <cols>
    <col min="1" max="1" width="47.7109375" style="29" customWidth="1"/>
    <col min="2" max="6" width="18.7109375" style="29" customWidth="1"/>
    <col min="7" max="16384" width="9.140625" style="29" customWidth="1"/>
  </cols>
  <sheetData>
    <row r="1" ht="12.75">
      <c r="A1" s="28" t="s">
        <v>117</v>
      </c>
    </row>
    <row r="2" spans="1:6" ht="12.75">
      <c r="A2" s="30" t="s">
        <v>118</v>
      </c>
      <c r="B2" s="31"/>
      <c r="C2" s="31"/>
      <c r="D2" s="31"/>
      <c r="E2" s="31"/>
      <c r="F2" s="31"/>
    </row>
    <row r="3" ht="12.75">
      <c r="F3" s="32" t="s">
        <v>474</v>
      </c>
    </row>
    <row r="4" spans="1:6" ht="18" customHeight="1">
      <c r="A4" s="34" t="s">
        <v>119</v>
      </c>
      <c r="B4" s="34">
        <v>2001</v>
      </c>
      <c r="C4" s="34">
        <v>2002</v>
      </c>
      <c r="D4" s="34">
        <v>2003</v>
      </c>
      <c r="E4" s="34">
        <v>2004</v>
      </c>
      <c r="F4" s="34">
        <v>2005</v>
      </c>
    </row>
    <row r="5" spans="1:6" ht="24.75" customHeight="1">
      <c r="A5" s="35" t="s">
        <v>120</v>
      </c>
      <c r="B5" s="36" t="e">
        <f>+B6+B7+B12</f>
        <v>#REF!</v>
      </c>
      <c r="C5" s="36" t="e">
        <f>+C6+C7+C12</f>
        <v>#REF!</v>
      </c>
      <c r="D5" s="36" t="e">
        <f>+D6+D7+D12</f>
        <v>#REF!</v>
      </c>
      <c r="E5" s="36" t="e">
        <f>+E6+E7+E12</f>
        <v>#REF!</v>
      </c>
      <c r="F5" s="36" t="e">
        <f>+F6+F7+F12</f>
        <v>#REF!</v>
      </c>
    </row>
    <row r="6" spans="1:6" ht="24.75" customHeight="1">
      <c r="A6" s="37" t="s">
        <v>476</v>
      </c>
      <c r="B6" s="38" t="e">
        <f>#REF!</f>
        <v>#REF!</v>
      </c>
      <c r="C6" s="38" t="e">
        <f>#REF!</f>
        <v>#REF!</v>
      </c>
      <c r="D6" s="38" t="e">
        <f>#REF!</f>
        <v>#REF!</v>
      </c>
      <c r="E6" s="38" t="e">
        <f>#REF!</f>
        <v>#REF!</v>
      </c>
      <c r="F6" s="38" t="e">
        <f>#REF!</f>
        <v>#REF!</v>
      </c>
    </row>
    <row r="7" spans="1:6" ht="24.75" customHeight="1">
      <c r="A7" s="39" t="s">
        <v>478</v>
      </c>
      <c r="B7" s="40" t="e">
        <f>#REF!</f>
        <v>#REF!</v>
      </c>
      <c r="C7" s="40" t="e">
        <f>#REF!</f>
        <v>#REF!</v>
      </c>
      <c r="D7" s="40" t="e">
        <f>#REF!</f>
        <v>#REF!</v>
      </c>
      <c r="E7" s="40" t="e">
        <f>#REF!</f>
        <v>#REF!</v>
      </c>
      <c r="F7" s="40" t="e">
        <f>#REF!</f>
        <v>#REF!</v>
      </c>
    </row>
    <row r="8" spans="1:6" ht="24.75" customHeight="1">
      <c r="A8" s="41" t="s">
        <v>121</v>
      </c>
      <c r="B8" s="42" t="e">
        <f>B7-B9-B10-B11</f>
        <v>#REF!</v>
      </c>
      <c r="C8" s="42" t="e">
        <f>C7-C9-C10-C11</f>
        <v>#REF!</v>
      </c>
      <c r="D8" s="42" t="e">
        <f>D7-D9-D10-D11</f>
        <v>#REF!</v>
      </c>
      <c r="E8" s="42" t="e">
        <f>E7-E9-E10-E11</f>
        <v>#REF!</v>
      </c>
      <c r="F8" s="42" t="e">
        <f>F7-F9-F10-F11</f>
        <v>#REF!</v>
      </c>
    </row>
    <row r="9" spans="1:6" ht="24.75" customHeight="1">
      <c r="A9" s="41" t="s">
        <v>123</v>
      </c>
      <c r="B9" s="33"/>
      <c r="C9" s="33"/>
      <c r="D9" s="33"/>
      <c r="E9" s="33"/>
      <c r="F9" s="33"/>
    </row>
    <row r="10" spans="1:6" ht="24.75" customHeight="1">
      <c r="A10" s="41" t="s">
        <v>124</v>
      </c>
      <c r="B10" s="42" t="e">
        <f>#REF!+#REF!</f>
        <v>#REF!</v>
      </c>
      <c r="C10" s="42" t="e">
        <f>#REF!+#REF!</f>
        <v>#REF!</v>
      </c>
      <c r="D10" s="42" t="e">
        <f>#REF!+#REF!</f>
        <v>#REF!</v>
      </c>
      <c r="E10" s="42" t="e">
        <f>#REF!+#REF!</f>
        <v>#REF!</v>
      </c>
      <c r="F10" s="42" t="e">
        <f>#REF!+#REF!</f>
        <v>#REF!</v>
      </c>
    </row>
    <row r="11" spans="1:6" ht="24.75" customHeight="1">
      <c r="A11" s="41" t="s">
        <v>125</v>
      </c>
      <c r="B11" s="42" t="e">
        <f>#REF!</f>
        <v>#REF!</v>
      </c>
      <c r="C11" s="42" t="e">
        <f>#REF!</f>
        <v>#REF!</v>
      </c>
      <c r="D11" s="42" t="e">
        <f>#REF!</f>
        <v>#REF!</v>
      </c>
      <c r="E11" s="42" t="e">
        <f>#REF!</f>
        <v>#REF!</v>
      </c>
      <c r="F11" s="42" t="e">
        <f>#REF!</f>
        <v>#REF!</v>
      </c>
    </row>
    <row r="12" spans="1:6" ht="24.75" customHeight="1">
      <c r="A12" s="39" t="s">
        <v>185</v>
      </c>
      <c r="B12" s="40" t="e">
        <f>#REF!+#REF!+#REF!+#REF!+#REF!+#REF!</f>
        <v>#REF!</v>
      </c>
      <c r="C12" s="40" t="e">
        <f>#REF!+#REF!+#REF!+#REF!+#REF!+#REF!</f>
        <v>#REF!</v>
      </c>
      <c r="D12" s="40" t="e">
        <f>#REF!+#REF!+#REF!+#REF!+#REF!+#REF!</f>
        <v>#REF!</v>
      </c>
      <c r="E12" s="40" t="e">
        <f>#REF!+#REF!+#REF!+#REF!+#REF!+#REF!</f>
        <v>#REF!</v>
      </c>
      <c r="F12" s="40" t="e">
        <f>#REF!+#REF!+#REF!+#REF!+#REF!+#REF!</f>
        <v>#REF!</v>
      </c>
    </row>
    <row r="13" spans="1:6" ht="24.75" customHeight="1">
      <c r="A13" s="43" t="s">
        <v>126</v>
      </c>
      <c r="B13" s="44" t="e">
        <f>+B14+B20+B23+B28+B32</f>
        <v>#REF!</v>
      </c>
      <c r="C13" s="44" t="e">
        <f>+C14+C20+C23+C28+C32</f>
        <v>#REF!</v>
      </c>
      <c r="D13" s="44" t="e">
        <f>+D14+D20+D23+D28+D32</f>
        <v>#REF!</v>
      </c>
      <c r="E13" s="44" t="e">
        <f>+E14+E20+E23+E28+E32</f>
        <v>#REF!</v>
      </c>
      <c r="F13" s="44" t="e">
        <f>+F14+F20+F23+F28+F32</f>
        <v>#REF!</v>
      </c>
    </row>
    <row r="14" spans="1:6" ht="24.75" customHeight="1">
      <c r="A14" s="39" t="s">
        <v>127</v>
      </c>
      <c r="B14" s="40">
        <f>+B15+B18+B19</f>
        <v>0</v>
      </c>
      <c r="C14" s="40">
        <f>+C15+C18+C19</f>
        <v>0</v>
      </c>
      <c r="D14" s="40">
        <f>+D15+D18+D19</f>
        <v>0</v>
      </c>
      <c r="E14" s="40">
        <f>+E15+E18+E19</f>
        <v>0</v>
      </c>
      <c r="F14" s="40">
        <f>+F15+F18+F19</f>
        <v>0</v>
      </c>
    </row>
    <row r="15" spans="1:6" ht="24.75" customHeight="1">
      <c r="A15" s="41" t="s">
        <v>128</v>
      </c>
      <c r="B15" s="42">
        <f>SUM(B16:B17)</f>
        <v>0</v>
      </c>
      <c r="C15" s="42">
        <f>SUM(C16:C17)</f>
        <v>0</v>
      </c>
      <c r="D15" s="42">
        <f>SUM(D16:D17)</f>
        <v>0</v>
      </c>
      <c r="E15" s="42">
        <f>SUM(E16:E17)</f>
        <v>0</v>
      </c>
      <c r="F15" s="42">
        <f>SUM(F16:F17)</f>
        <v>0</v>
      </c>
    </row>
    <row r="16" spans="1:6" ht="24.75" customHeight="1">
      <c r="A16" s="45" t="s">
        <v>129</v>
      </c>
      <c r="B16" s="33"/>
      <c r="C16" s="33"/>
      <c r="D16" s="33"/>
      <c r="E16" s="33"/>
      <c r="F16" s="33"/>
    </row>
    <row r="17" spans="1:6" ht="24.75" customHeight="1">
      <c r="A17" s="45" t="s">
        <v>130</v>
      </c>
      <c r="B17" s="33"/>
      <c r="C17" s="33"/>
      <c r="D17" s="33"/>
      <c r="E17" s="33"/>
      <c r="F17" s="33"/>
    </row>
    <row r="18" spans="1:6" ht="24.75" customHeight="1">
      <c r="A18" s="41" t="s">
        <v>123</v>
      </c>
      <c r="B18" s="42">
        <f>B9</f>
        <v>0</v>
      </c>
      <c r="C18" s="42">
        <f>C9</f>
        <v>0</v>
      </c>
      <c r="D18" s="42">
        <f>D9</f>
        <v>0</v>
      </c>
      <c r="E18" s="42">
        <f>E9</f>
        <v>0</v>
      </c>
      <c r="F18" s="42">
        <f>F9</f>
        <v>0</v>
      </c>
    </row>
    <row r="19" spans="1:6" ht="24.75" customHeight="1">
      <c r="A19" s="41" t="s">
        <v>131</v>
      </c>
      <c r="B19" s="33"/>
      <c r="C19" s="33"/>
      <c r="D19" s="33"/>
      <c r="E19" s="33"/>
      <c r="F19" s="33"/>
    </row>
    <row r="20" spans="1:6" ht="24.75" customHeight="1">
      <c r="A20" s="39" t="s">
        <v>132</v>
      </c>
      <c r="B20" s="40">
        <f>SUM(B21:B22)</f>
        <v>0</v>
      </c>
      <c r="C20" s="40">
        <f>SUM(C21:C22)</f>
        <v>0</v>
      </c>
      <c r="D20" s="40">
        <f>SUM(D21:D22)</f>
        <v>0</v>
      </c>
      <c r="E20" s="40">
        <f>SUM(E21:E22)</f>
        <v>0</v>
      </c>
      <c r="F20" s="40">
        <f>SUM(F21:F22)</f>
        <v>0</v>
      </c>
    </row>
    <row r="21" spans="1:6" ht="24.75" customHeight="1">
      <c r="A21" s="41" t="s">
        <v>129</v>
      </c>
      <c r="B21" s="33"/>
      <c r="C21" s="33"/>
      <c r="D21" s="33"/>
      <c r="E21" s="33"/>
      <c r="F21" s="33"/>
    </row>
    <row r="22" spans="1:6" ht="24.75" customHeight="1">
      <c r="A22" s="41" t="s">
        <v>130</v>
      </c>
      <c r="B22" s="33"/>
      <c r="C22" s="33"/>
      <c r="D22" s="33"/>
      <c r="E22" s="33"/>
      <c r="F22" s="33"/>
    </row>
    <row r="23" spans="1:6" ht="24.75" customHeight="1">
      <c r="A23" s="39" t="s">
        <v>133</v>
      </c>
      <c r="B23" s="40" t="e">
        <f>+B24+B27</f>
        <v>#REF!</v>
      </c>
      <c r="C23" s="40" t="e">
        <f>+C24+C27</f>
        <v>#REF!</v>
      </c>
      <c r="D23" s="40" t="e">
        <f>+D24+D27</f>
        <v>#REF!</v>
      </c>
      <c r="E23" s="40" t="e">
        <f>+E24+E27</f>
        <v>#REF!</v>
      </c>
      <c r="F23" s="40" t="e">
        <f>+F24+F27</f>
        <v>#REF!</v>
      </c>
    </row>
    <row r="24" spans="1:6" ht="24.75" customHeight="1">
      <c r="A24" s="41" t="s">
        <v>134</v>
      </c>
      <c r="B24" s="42" t="e">
        <f>Tab07B!B30</f>
        <v>#REF!</v>
      </c>
      <c r="C24" s="42" t="e">
        <f>Tab07B!C30</f>
        <v>#REF!</v>
      </c>
      <c r="D24" s="42" t="e">
        <f>Tab07B!D30</f>
        <v>#REF!</v>
      </c>
      <c r="E24" s="42" t="e">
        <f>Tab07B!E30</f>
        <v>#REF!</v>
      </c>
      <c r="F24" s="42" t="e">
        <f>Tab07B!F30</f>
        <v>#REF!</v>
      </c>
    </row>
    <row r="25" spans="1:6" ht="24.75" customHeight="1">
      <c r="A25" s="45" t="s">
        <v>135</v>
      </c>
      <c r="B25" s="42" t="e">
        <f>Tab07B!B31</f>
        <v>#REF!</v>
      </c>
      <c r="C25" s="42" t="e">
        <f>Tab07B!C31</f>
        <v>#REF!</v>
      </c>
      <c r="D25" s="42" t="e">
        <f>Tab07B!D31</f>
        <v>#REF!</v>
      </c>
      <c r="E25" s="42" t="e">
        <f>Tab07B!E31</f>
        <v>#REF!</v>
      </c>
      <c r="F25" s="42" t="e">
        <f>Tab07B!F31</f>
        <v>#REF!</v>
      </c>
    </row>
    <row r="26" spans="1:6" ht="24.75" customHeight="1">
      <c r="A26" s="45" t="s">
        <v>130</v>
      </c>
      <c r="B26" s="42" t="e">
        <f>B24-B25</f>
        <v>#REF!</v>
      </c>
      <c r="C26" s="42" t="e">
        <f>C24-C25</f>
        <v>#REF!</v>
      </c>
      <c r="D26" s="42" t="e">
        <f>D24-D25</f>
        <v>#REF!</v>
      </c>
      <c r="E26" s="42" t="e">
        <f>E24-E25</f>
        <v>#REF!</v>
      </c>
      <c r="F26" s="42" t="e">
        <f>F24-F25</f>
        <v>#REF!</v>
      </c>
    </row>
    <row r="27" spans="1:6" ht="24.75" customHeight="1">
      <c r="A27" s="41" t="s">
        <v>136</v>
      </c>
      <c r="B27" s="33"/>
      <c r="C27" s="33"/>
      <c r="D27" s="33"/>
      <c r="E27" s="33"/>
      <c r="F27" s="33"/>
    </row>
    <row r="28" spans="1:6" ht="24.75" customHeight="1">
      <c r="A28" s="39" t="s">
        <v>137</v>
      </c>
      <c r="B28" s="40">
        <f>SUM(B29:B31)</f>
        <v>0</v>
      </c>
      <c r="C28" s="40">
        <f>SUM(C29:C31)</f>
        <v>0</v>
      </c>
      <c r="D28" s="40">
        <f>SUM(D29:D31)</f>
        <v>0</v>
      </c>
      <c r="E28" s="40">
        <f>SUM(E29:E31)</f>
        <v>0</v>
      </c>
      <c r="F28" s="40">
        <f>SUM(F29:F31)</f>
        <v>0</v>
      </c>
    </row>
    <row r="29" spans="1:6" ht="24.75" customHeight="1">
      <c r="A29" s="41" t="s">
        <v>138</v>
      </c>
      <c r="B29" s="33"/>
      <c r="C29" s="33"/>
      <c r="D29" s="33"/>
      <c r="E29" s="33"/>
      <c r="F29" s="33"/>
    </row>
    <row r="30" spans="1:6" ht="24.75" customHeight="1">
      <c r="A30" s="41" t="s">
        <v>139</v>
      </c>
      <c r="B30" s="33"/>
      <c r="C30" s="33"/>
      <c r="D30" s="33"/>
      <c r="E30" s="33"/>
      <c r="F30" s="33"/>
    </row>
    <row r="31" spans="1:6" ht="24.75" customHeight="1">
      <c r="A31" s="41" t="s">
        <v>140</v>
      </c>
      <c r="B31" s="33"/>
      <c r="C31" s="33"/>
      <c r="D31" s="33"/>
      <c r="E31" s="33"/>
      <c r="F31" s="33"/>
    </row>
    <row r="32" spans="1:6" ht="24.75" customHeight="1">
      <c r="A32" s="39" t="s">
        <v>141</v>
      </c>
      <c r="B32" s="40">
        <f>SUM(B33:B34)</f>
        <v>0</v>
      </c>
      <c r="C32" s="40">
        <f>SUM(C33:C34)</f>
        <v>0</v>
      </c>
      <c r="D32" s="40">
        <f>SUM(D33:D34)</f>
        <v>0</v>
      </c>
      <c r="E32" s="40">
        <f>SUM(E33:E34)</f>
        <v>0</v>
      </c>
      <c r="F32" s="40">
        <f>SUM(F33:F34)</f>
        <v>0</v>
      </c>
    </row>
    <row r="33" spans="1:6" ht="24.75" customHeight="1">
      <c r="A33" s="41" t="s">
        <v>142</v>
      </c>
      <c r="B33" s="33"/>
      <c r="C33" s="33"/>
      <c r="D33" s="33"/>
      <c r="E33" s="33"/>
      <c r="F33" s="33"/>
    </row>
    <row r="34" spans="1:6" ht="24.75" customHeight="1">
      <c r="A34" s="41" t="s">
        <v>143</v>
      </c>
      <c r="B34" s="33"/>
      <c r="C34" s="33"/>
      <c r="D34" s="33"/>
      <c r="E34" s="33"/>
      <c r="F34" s="33"/>
    </row>
    <row r="35" spans="1:6" ht="24.75" customHeight="1">
      <c r="A35" s="39" t="s">
        <v>182</v>
      </c>
      <c r="B35" s="40" t="e">
        <f>B5-B13</f>
        <v>#REF!</v>
      </c>
      <c r="C35" s="40" t="e">
        <f>C5-C13</f>
        <v>#REF!</v>
      </c>
      <c r="D35" s="40" t="e">
        <f>D5-D13</f>
        <v>#REF!</v>
      </c>
      <c r="E35" s="40" t="e">
        <f>E5-E13</f>
        <v>#REF!</v>
      </c>
      <c r="F35" s="40" t="e">
        <f>F5-F13</f>
        <v>#REF!</v>
      </c>
    </row>
    <row r="36" spans="1:6" ht="24.75" customHeight="1">
      <c r="A36" s="46" t="s">
        <v>183</v>
      </c>
      <c r="B36" s="47"/>
      <c r="C36" s="47" t="e">
        <f>#REF!+#REF!+#REF!</f>
        <v>#REF!</v>
      </c>
      <c r="D36" s="47" t="e">
        <f>#REF!+#REF!+#REF!</f>
        <v>#REF!</v>
      </c>
      <c r="E36" s="47" t="e">
        <f>#REF!+#REF!+#REF!</f>
        <v>#REF!</v>
      </c>
      <c r="F36" s="47" t="e">
        <f>#REF!+#REF!+#REF!</f>
        <v>#REF!</v>
      </c>
    </row>
    <row r="37" spans="1:6" ht="24.75" customHeight="1">
      <c r="A37" s="48" t="s">
        <v>184</v>
      </c>
      <c r="B37" s="49" t="e">
        <f>B35-B36</f>
        <v>#REF!</v>
      </c>
      <c r="C37" s="49" t="e">
        <f>C35-C36</f>
        <v>#REF!</v>
      </c>
      <c r="D37" s="49" t="e">
        <f>D35-D36</f>
        <v>#REF!</v>
      </c>
      <c r="E37" s="49" t="e">
        <f>E35-E36</f>
        <v>#REF!</v>
      </c>
      <c r="F37" s="49" t="e">
        <f>F35-F36</f>
        <v>#REF!</v>
      </c>
    </row>
  </sheetData>
  <sheetProtection sheet="1" objects="1" scenarios="1"/>
  <printOptions horizontalCentered="1" verticalCentered="1"/>
  <pageMargins left="0.7874015748031497" right="0.7874015748031497" top="0.7874015748031497" bottom="0.7874015748031497" header="0.5118110236220472" footer="0.5118110236220472"/>
  <pageSetup fitToHeight="1" fitToWidth="1" horizontalDpi="600" verticalDpi="600" orientation="portrait" paperSize="9" scale="61" r:id="rId1"/>
</worksheet>
</file>

<file path=xl/worksheets/sheet19.xml><?xml version="1.0" encoding="utf-8"?>
<worksheet xmlns="http://schemas.openxmlformats.org/spreadsheetml/2006/main" xmlns:r="http://schemas.openxmlformats.org/officeDocument/2006/relationships">
  <dimension ref="B2:B3"/>
  <sheetViews>
    <sheetView zoomScalePageLayoutView="0" workbookViewId="0" topLeftCell="A1">
      <selection activeCell="B2" sqref="B2:B3"/>
    </sheetView>
  </sheetViews>
  <sheetFormatPr defaultColWidth="9.140625" defaultRowHeight="12.75"/>
  <cols>
    <col min="1" max="1" width="3.8515625" style="0" customWidth="1"/>
    <col min="2" max="2" width="16.00390625" style="0" customWidth="1"/>
    <col min="3" max="3" width="12.28125" style="0" customWidth="1"/>
  </cols>
  <sheetData>
    <row r="2" ht="12.75">
      <c r="B2" s="51"/>
    </row>
    <row r="3" ht="12.75">
      <c r="B3" s="51"/>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dimension ref="A1:IT139"/>
  <sheetViews>
    <sheetView zoomScale="120" zoomScaleNormal="120" zoomScalePageLayoutView="0" workbookViewId="0" topLeftCell="A91">
      <pane xSplit="2" topLeftCell="D1" activePane="topRight" state="frozen"/>
      <selection pane="topLeft" activeCell="A37" sqref="A37"/>
      <selection pane="topRight" activeCell="O99" sqref="O99"/>
    </sheetView>
  </sheetViews>
  <sheetFormatPr defaultColWidth="9.140625" defaultRowHeight="24" customHeight="1"/>
  <cols>
    <col min="1" max="1" width="0.2890625" style="572" customWidth="1"/>
    <col min="2" max="2" width="24.00390625" style="572" customWidth="1"/>
    <col min="3" max="3" width="9.421875" style="650" customWidth="1"/>
    <col min="4" max="4" width="3.140625" style="572" bestFit="1" customWidth="1"/>
    <col min="5" max="5" width="8.7109375" style="580" customWidth="1"/>
    <col min="6" max="6" width="8.421875" style="572" customWidth="1"/>
    <col min="7" max="7" width="8.00390625" style="572" customWidth="1"/>
    <col min="8" max="8" width="8.8515625" style="572" customWidth="1"/>
    <col min="9" max="9" width="8.00390625" style="572" customWidth="1"/>
    <col min="10" max="10" width="8.57421875" style="572" customWidth="1"/>
    <col min="11" max="11" width="8.7109375" style="572" customWidth="1"/>
    <col min="12" max="12" width="8.28125" style="572" customWidth="1"/>
    <col min="13" max="13" width="8.57421875" style="572" customWidth="1"/>
    <col min="14" max="14" width="8.8515625" style="572" customWidth="1"/>
    <col min="15" max="15" width="9.421875" style="572" customWidth="1"/>
    <col min="16" max="16" width="7.7109375" style="572" customWidth="1"/>
    <col min="17" max="17" width="8.140625" style="572" customWidth="1"/>
    <col min="18" max="16384" width="9.140625" style="572" customWidth="1"/>
  </cols>
  <sheetData>
    <row r="1" spans="1:17" ht="17.25" customHeight="1">
      <c r="A1" s="569"/>
      <c r="B1" s="570" t="s">
        <v>571</v>
      </c>
      <c r="C1" s="916" t="s">
        <v>210</v>
      </c>
      <c r="D1" s="917"/>
      <c r="E1" s="917"/>
      <c r="F1" s="917"/>
      <c r="G1" s="917"/>
      <c r="H1" s="917"/>
      <c r="I1" s="917"/>
      <c r="J1" s="917"/>
      <c r="K1" s="917"/>
      <c r="L1" s="917"/>
      <c r="M1" s="917"/>
      <c r="N1" s="917"/>
      <c r="O1" s="917"/>
      <c r="P1" s="918"/>
      <c r="Q1" s="571" t="s">
        <v>449</v>
      </c>
    </row>
    <row r="2" spans="1:17" ht="13.5" customHeight="1">
      <c r="A2" s="573"/>
      <c r="B2" s="919" t="s">
        <v>1080</v>
      </c>
      <c r="C2" s="919"/>
      <c r="D2" s="919"/>
      <c r="E2" s="919"/>
      <c r="F2" s="919"/>
      <c r="G2" s="919"/>
      <c r="H2" s="919"/>
      <c r="I2" s="919"/>
      <c r="J2" s="919"/>
      <c r="K2" s="919"/>
      <c r="L2" s="919"/>
      <c r="M2" s="919"/>
      <c r="Q2" s="654"/>
    </row>
    <row r="3" spans="1:17" ht="13.5" customHeight="1">
      <c r="A3" s="573"/>
      <c r="B3" s="920" t="s">
        <v>228</v>
      </c>
      <c r="C3" s="920"/>
      <c r="D3" s="920"/>
      <c r="E3" s="920"/>
      <c r="F3" s="920"/>
      <c r="G3" s="920"/>
      <c r="H3" s="920"/>
      <c r="I3" s="920"/>
      <c r="J3" s="920"/>
      <c r="K3" s="920"/>
      <c r="L3" s="920"/>
      <c r="Q3" s="654"/>
    </row>
    <row r="4" spans="1:17" ht="13.5" customHeight="1">
      <c r="A4" s="573"/>
      <c r="B4" s="921" t="s">
        <v>583</v>
      </c>
      <c r="C4" s="921"/>
      <c r="D4" s="921"/>
      <c r="E4" s="921"/>
      <c r="F4" s="921"/>
      <c r="G4" s="921"/>
      <c r="H4" s="921"/>
      <c r="I4" s="921"/>
      <c r="J4" s="921"/>
      <c r="K4" s="921"/>
      <c r="L4" s="921"/>
      <c r="Q4" s="655"/>
    </row>
    <row r="5" spans="1:17" ht="12.75" customHeight="1">
      <c r="A5" s="573"/>
      <c r="B5" s="906" t="str">
        <f>'TAB. P - PARÂMETROS'!B6:G6</f>
        <v>EXERCÍCIO: 2016</v>
      </c>
      <c r="C5" s="906"/>
      <c r="D5" s="906"/>
      <c r="E5" s="906"/>
      <c r="F5" s="906"/>
      <c r="G5" s="906"/>
      <c r="H5" s="906"/>
      <c r="I5" s="906"/>
      <c r="J5" s="906"/>
      <c r="K5" s="906"/>
      <c r="L5" s="906"/>
      <c r="M5" s="913" t="str">
        <f>'TAB. P - PARÂMETROS'!B8</f>
        <v>ANEXO do Projeto de Lei n°. 051/2015 </v>
      </c>
      <c r="N5" s="913"/>
      <c r="O5" s="913"/>
      <c r="P5" s="913"/>
      <c r="Q5" s="913"/>
    </row>
    <row r="6" spans="1:17" s="580" customFormat="1" ht="49.5" customHeight="1">
      <c r="A6" s="574"/>
      <c r="B6" s="575" t="s">
        <v>265</v>
      </c>
      <c r="C6" s="576"/>
      <c r="D6" s="577" t="s">
        <v>586</v>
      </c>
      <c r="E6" s="907" t="s">
        <v>251</v>
      </c>
      <c r="F6" s="908"/>
      <c r="G6" s="909"/>
      <c r="H6" s="578" t="s">
        <v>628</v>
      </c>
      <c r="I6" s="793" t="s">
        <v>1107</v>
      </c>
      <c r="J6" s="910" t="s">
        <v>1121</v>
      </c>
      <c r="K6" s="911"/>
      <c r="L6" s="912"/>
      <c r="M6" s="766" t="s">
        <v>1084</v>
      </c>
      <c r="N6" s="579" t="s">
        <v>1134</v>
      </c>
      <c r="O6" s="579" t="s">
        <v>1123</v>
      </c>
      <c r="P6" s="914" t="s">
        <v>1124</v>
      </c>
      <c r="Q6" s="915"/>
    </row>
    <row r="7" spans="1:17" s="580" customFormat="1" ht="35.25" customHeight="1">
      <c r="A7" s="574"/>
      <c r="B7" s="895" t="s">
        <v>262</v>
      </c>
      <c r="C7" s="896"/>
      <c r="D7" s="581"/>
      <c r="E7" s="901" t="s">
        <v>260</v>
      </c>
      <c r="F7" s="902"/>
      <c r="G7" s="903"/>
      <c r="H7" s="578"/>
      <c r="I7" s="578"/>
      <c r="J7" s="582" t="s">
        <v>255</v>
      </c>
      <c r="K7" s="582" t="s">
        <v>253</v>
      </c>
      <c r="L7" s="582" t="s">
        <v>254</v>
      </c>
      <c r="M7" s="583" t="s">
        <v>283</v>
      </c>
      <c r="N7" s="582" t="s">
        <v>256</v>
      </c>
      <c r="O7" s="582" t="s">
        <v>257</v>
      </c>
      <c r="P7" s="582" t="s">
        <v>258</v>
      </c>
      <c r="Q7" s="582" t="s">
        <v>259</v>
      </c>
    </row>
    <row r="8" spans="1:17" s="580" customFormat="1" ht="32.25" customHeight="1">
      <c r="A8" s="584"/>
      <c r="B8" s="897"/>
      <c r="C8" s="898"/>
      <c r="D8" s="585"/>
      <c r="E8" s="586" t="s">
        <v>539</v>
      </c>
      <c r="F8" s="586" t="s">
        <v>162</v>
      </c>
      <c r="G8" s="586" t="s">
        <v>163</v>
      </c>
      <c r="H8" s="586" t="s">
        <v>164</v>
      </c>
      <c r="I8" s="586" t="s">
        <v>1108</v>
      </c>
      <c r="J8" s="586" t="s">
        <v>250</v>
      </c>
      <c r="K8" s="586" t="s">
        <v>166</v>
      </c>
      <c r="L8" s="586" t="s">
        <v>167</v>
      </c>
      <c r="M8" s="583" t="s">
        <v>168</v>
      </c>
      <c r="N8" s="579" t="s">
        <v>240</v>
      </c>
      <c r="O8" s="579" t="s">
        <v>616</v>
      </c>
      <c r="P8" s="579" t="s">
        <v>617</v>
      </c>
      <c r="Q8" s="579" t="s">
        <v>618</v>
      </c>
    </row>
    <row r="9" spans="1:17" s="580" customFormat="1" ht="55.5" customHeight="1">
      <c r="A9" s="587"/>
      <c r="B9" s="899"/>
      <c r="C9" s="900"/>
      <c r="D9" s="588" t="s">
        <v>252</v>
      </c>
      <c r="E9" s="589">
        <v>0.0584</v>
      </c>
      <c r="F9" s="589">
        <v>0.0591</v>
      </c>
      <c r="G9" s="589">
        <v>0.0641</v>
      </c>
      <c r="H9" s="590" t="s">
        <v>1122</v>
      </c>
      <c r="I9" s="590" t="s">
        <v>1140</v>
      </c>
      <c r="J9" s="815">
        <f>E9</f>
        <v>0.0584</v>
      </c>
      <c r="K9" s="815">
        <f>F9</f>
        <v>0.0591</v>
      </c>
      <c r="L9" s="815">
        <f>G9</f>
        <v>0.0641</v>
      </c>
      <c r="M9" s="583">
        <v>0</v>
      </c>
      <c r="N9" s="817">
        <v>0.0617</v>
      </c>
      <c r="O9" s="816">
        <f>'TAB. P - PARÂMETROS'!E16</f>
        <v>0.013</v>
      </c>
      <c r="P9" s="816">
        <f>'TAB. P - PARÂMETROS'!F16</f>
        <v>0.019</v>
      </c>
      <c r="Q9" s="816">
        <f>'TAB. P - PARÂMETROS'!G16</f>
        <v>0.024</v>
      </c>
    </row>
    <row r="10" spans="1:17" ht="39.75" customHeight="1">
      <c r="A10" s="591"/>
      <c r="B10" s="592" t="s">
        <v>473</v>
      </c>
      <c r="C10" s="593" t="s">
        <v>261</v>
      </c>
      <c r="D10" s="577"/>
      <c r="E10" s="594">
        <v>2012</v>
      </c>
      <c r="F10" s="594">
        <v>2013</v>
      </c>
      <c r="G10" s="594">
        <v>2014</v>
      </c>
      <c r="H10" s="594">
        <v>2015</v>
      </c>
      <c r="I10" s="794">
        <v>42156</v>
      </c>
      <c r="J10" s="595" t="s">
        <v>73</v>
      </c>
      <c r="K10" s="595" t="s">
        <v>1037</v>
      </c>
      <c r="L10" s="595" t="s">
        <v>1078</v>
      </c>
      <c r="M10" s="596" t="s">
        <v>282</v>
      </c>
      <c r="N10" s="595" t="s">
        <v>1079</v>
      </c>
      <c r="O10" s="767" t="s">
        <v>1091</v>
      </c>
      <c r="P10" s="596" t="s">
        <v>1038</v>
      </c>
      <c r="Q10" s="596" t="s">
        <v>1082</v>
      </c>
    </row>
    <row r="11" spans="2:17" ht="12.75" customHeight="1">
      <c r="B11" s="597" t="s">
        <v>547</v>
      </c>
      <c r="C11" s="598" t="s">
        <v>396</v>
      </c>
      <c r="D11" s="583">
        <v>1</v>
      </c>
      <c r="E11" s="599">
        <f aca="true" t="shared" si="0" ref="E11:Q11">E13+E97</f>
        <v>9417748.529999997</v>
      </c>
      <c r="F11" s="599">
        <f t="shared" si="0"/>
        <v>10151102.850000001</v>
      </c>
      <c r="G11" s="599">
        <f t="shared" si="0"/>
        <v>10417144.759999998</v>
      </c>
      <c r="H11" s="599">
        <f t="shared" si="0"/>
        <v>11914000</v>
      </c>
      <c r="I11" s="599">
        <f t="shared" si="0"/>
        <v>5579096.089999999</v>
      </c>
      <c r="J11" s="599">
        <f t="shared" si="0"/>
        <v>11233532.138971215</v>
      </c>
      <c r="K11" s="599">
        <f t="shared" si="0"/>
        <v>11440174.245557683</v>
      </c>
      <c r="L11" s="599">
        <f t="shared" si="0"/>
        <v>11084883.739116</v>
      </c>
      <c r="M11" s="599">
        <f t="shared" si="0"/>
        <v>11252863.374548303</v>
      </c>
      <c r="N11" s="599">
        <f t="shared" si="0"/>
        <v>11831360.589850398</v>
      </c>
      <c r="O11" s="599">
        <f t="shared" si="0"/>
        <v>12093327.882285722</v>
      </c>
      <c r="P11" s="599">
        <f t="shared" si="0"/>
        <v>11808913.305749748</v>
      </c>
      <c r="Q11" s="599">
        <f t="shared" si="0"/>
        <v>12071794.697059035</v>
      </c>
    </row>
    <row r="12" spans="2:17" s="600" customFormat="1" ht="20.25" customHeight="1">
      <c r="B12" s="601" t="s">
        <v>284</v>
      </c>
      <c r="C12" s="602" t="s">
        <v>331</v>
      </c>
      <c r="D12" s="583">
        <v>2</v>
      </c>
      <c r="E12" s="603">
        <f aca="true" t="shared" si="1" ref="E12:Q12">E13+E93</f>
        <v>9792012.979999999</v>
      </c>
      <c r="F12" s="603">
        <f t="shared" si="1"/>
        <v>10425354.83</v>
      </c>
      <c r="G12" s="603">
        <f t="shared" si="1"/>
        <v>11743110.439999998</v>
      </c>
      <c r="H12" s="603">
        <f t="shared" si="1"/>
        <v>12208300</v>
      </c>
      <c r="I12" s="603">
        <f t="shared" si="1"/>
        <v>6559689.079999999</v>
      </c>
      <c r="J12" s="796">
        <f t="shared" si="1"/>
        <v>11679956.431913711</v>
      </c>
      <c r="K12" s="603">
        <f t="shared" si="1"/>
        <v>11749253.021012036</v>
      </c>
      <c r="L12" s="603">
        <f t="shared" si="1"/>
        <v>12495843.819203999</v>
      </c>
      <c r="M12" s="603">
        <f t="shared" si="1"/>
        <v>11975017.757376585</v>
      </c>
      <c r="N12" s="603">
        <f t="shared" si="1"/>
        <v>12767480.04738015</v>
      </c>
      <c r="O12" s="769">
        <f>O13+O93</f>
        <v>13654338.913444014</v>
      </c>
      <c r="P12" s="603">
        <f t="shared" si="1"/>
        <v>13912190.911881847</v>
      </c>
      <c r="Q12" s="603">
        <f t="shared" si="1"/>
        <v>14224957.691215932</v>
      </c>
    </row>
    <row r="13" spans="2:17" ht="33" customHeight="1">
      <c r="B13" s="604" t="s">
        <v>1114</v>
      </c>
      <c r="C13" s="602" t="s">
        <v>332</v>
      </c>
      <c r="D13" s="583">
        <v>3</v>
      </c>
      <c r="E13" s="599">
        <f aca="true" t="shared" si="2" ref="E13:Q13">+E14+E23+E28+E41+E42+E43+E46+E80-E93</f>
        <v>8243887.449999998</v>
      </c>
      <c r="F13" s="599">
        <f t="shared" si="2"/>
        <v>8749422.64</v>
      </c>
      <c r="G13" s="599">
        <f t="shared" si="2"/>
        <v>9901618.589999998</v>
      </c>
      <c r="H13" s="599">
        <f t="shared" si="2"/>
        <v>10174000</v>
      </c>
      <c r="I13" s="599">
        <f t="shared" si="2"/>
        <v>5481596.089999999</v>
      </c>
      <c r="J13" s="599">
        <f t="shared" si="2"/>
        <v>9833345.44570736</v>
      </c>
      <c r="K13" s="599">
        <f t="shared" si="2"/>
        <v>9860497.034529338</v>
      </c>
      <c r="L13" s="599">
        <f t="shared" si="2"/>
        <v>10536312.341619</v>
      </c>
      <c r="M13" s="599">
        <f t="shared" si="2"/>
        <v>10076718.273951903</v>
      </c>
      <c r="N13" s="599">
        <f t="shared" si="2"/>
        <v>10729826.454361105</v>
      </c>
      <c r="O13" s="768">
        <f t="shared" si="2"/>
        <v>11589907.882285722</v>
      </c>
      <c r="P13" s="599">
        <f t="shared" si="2"/>
        <v>11808913.305749748</v>
      </c>
      <c r="Q13" s="599">
        <f t="shared" si="2"/>
        <v>12071794.697059035</v>
      </c>
    </row>
    <row r="14" spans="2:17" s="605" customFormat="1" ht="12.75" customHeight="1">
      <c r="B14" s="606" t="s">
        <v>97</v>
      </c>
      <c r="C14" s="607" t="s">
        <v>744</v>
      </c>
      <c r="D14" s="583">
        <v>4</v>
      </c>
      <c r="E14" s="608">
        <f>E15+E21+E22</f>
        <v>568605.53</v>
      </c>
      <c r="F14" s="608">
        <f>F15+F21+F22</f>
        <v>465827.76</v>
      </c>
      <c r="G14" s="608">
        <f aca="true" t="shared" si="3" ref="G14:Q14">G15+G21+G22</f>
        <v>552829.33</v>
      </c>
      <c r="H14" s="608">
        <f t="shared" si="3"/>
        <v>466000</v>
      </c>
      <c r="I14" s="608">
        <f>I15+I21+I22</f>
        <v>412262.99</v>
      </c>
      <c r="J14" s="608">
        <f t="shared" si="3"/>
        <v>678235.1935735373</v>
      </c>
      <c r="K14" s="608">
        <f t="shared" si="3"/>
        <v>524982.4399934856</v>
      </c>
      <c r="L14" s="608">
        <f t="shared" si="3"/>
        <v>588265.690053</v>
      </c>
      <c r="M14" s="608">
        <f t="shared" si="3"/>
        <v>597161.107873341</v>
      </c>
      <c r="N14" s="608">
        <f t="shared" si="3"/>
        <v>687609.6426025579</v>
      </c>
      <c r="O14" s="770">
        <f t="shared" si="3"/>
        <v>697753.6971963912</v>
      </c>
      <c r="P14" s="608">
        <f t="shared" si="3"/>
        <v>709430.5765255225</v>
      </c>
      <c r="Q14" s="608">
        <f t="shared" si="3"/>
        <v>723973.8620760392</v>
      </c>
    </row>
    <row r="15" spans="2:17" ht="12.75" customHeight="1">
      <c r="B15" s="609" t="s">
        <v>98</v>
      </c>
      <c r="C15" s="610" t="s">
        <v>281</v>
      </c>
      <c r="D15" s="583">
        <v>5</v>
      </c>
      <c r="E15" s="603">
        <f>SUM(E16:E20)</f>
        <v>523663.64</v>
      </c>
      <c r="F15" s="603">
        <f>SUM(F16:F20)</f>
        <v>378628.15</v>
      </c>
      <c r="G15" s="603">
        <f aca="true" t="shared" si="4" ref="G15:Q15">SUM(G16:G20)</f>
        <v>460178.78</v>
      </c>
      <c r="H15" s="603">
        <f t="shared" si="4"/>
        <v>369000</v>
      </c>
      <c r="I15" s="603">
        <f t="shared" si="4"/>
        <v>332264.08999999997</v>
      </c>
      <c r="J15" s="603">
        <f t="shared" si="4"/>
        <v>624628.308210128</v>
      </c>
      <c r="K15" s="603">
        <f t="shared" si="4"/>
        <v>426709.4988869265</v>
      </c>
      <c r="L15" s="603">
        <f t="shared" si="4"/>
        <v>489676.239798</v>
      </c>
      <c r="M15" s="603">
        <f t="shared" si="4"/>
        <v>513671.3489650182</v>
      </c>
      <c r="N15" s="603">
        <f t="shared" si="4"/>
        <v>598968.5655695916</v>
      </c>
      <c r="O15" s="769">
        <f t="shared" si="4"/>
        <v>607960.2861619963</v>
      </c>
      <c r="P15" s="603">
        <f t="shared" si="4"/>
        <v>617931.0906814742</v>
      </c>
      <c r="Q15" s="603">
        <f t="shared" si="4"/>
        <v>630278.3885717336</v>
      </c>
    </row>
    <row r="16" spans="2:17" ht="12.75" customHeight="1">
      <c r="B16" s="609" t="s">
        <v>383</v>
      </c>
      <c r="C16" s="611">
        <v>0</v>
      </c>
      <c r="D16" s="583">
        <v>6</v>
      </c>
      <c r="E16" s="612">
        <v>74099.44</v>
      </c>
      <c r="F16" s="612">
        <v>74230.47</v>
      </c>
      <c r="G16" s="612">
        <v>153143.66</v>
      </c>
      <c r="H16" s="612">
        <v>120000</v>
      </c>
      <c r="I16" s="612">
        <v>172161.32</v>
      </c>
      <c r="J16" s="613">
        <f>SUM(((E16*$J$9+E16)+((E16*$J$9+E16)*$K$9))*$L$9)+(E16*$J$9+E16)+((E16*$J$9+E16)*$K$9)</f>
        <v>88386.14009274711</v>
      </c>
      <c r="K16" s="614">
        <f>SUM(F16*$K$9+F16)+((F16*$K$9+F16)*$L$9)</f>
        <v>83656.8719358057</v>
      </c>
      <c r="L16" s="614">
        <f>SUM(G16*$L$9+G16)</f>
        <v>162960.168606</v>
      </c>
      <c r="M16" s="615">
        <f>(J16+K16+L16)/3</f>
        <v>111667.72687818429</v>
      </c>
      <c r="N16" s="787">
        <v>172161.32</v>
      </c>
      <c r="O16" s="784">
        <f>N16*'TAB. P - PARÂMETROS'!E20+N16</f>
        <v>175604.54640000002</v>
      </c>
      <c r="P16" s="784">
        <f>O16*'TAB. P - PARÂMETROS'!F20+O16</f>
        <v>177360.59186400002</v>
      </c>
      <c r="Q16" s="784">
        <f>P16*'TAB. P - PARÂMETROS'!G20+P16</f>
        <v>179134.19778264003</v>
      </c>
    </row>
    <row r="17" spans="2:17" s="618" customFormat="1" ht="12.75" customHeight="1">
      <c r="B17" s="616" t="s">
        <v>24</v>
      </c>
      <c r="C17" s="611">
        <v>0</v>
      </c>
      <c r="D17" s="583">
        <v>7</v>
      </c>
      <c r="E17" s="617">
        <v>54531.07</v>
      </c>
      <c r="F17" s="617">
        <v>108884.61</v>
      </c>
      <c r="G17" s="617">
        <v>120564.08</v>
      </c>
      <c r="H17" s="617">
        <v>130000</v>
      </c>
      <c r="I17" s="617">
        <v>60597.2</v>
      </c>
      <c r="J17" s="613">
        <f aca="true" t="shared" si="5" ref="J17:J22">SUM(((E17*$J$9+E17)+((E17*$J$9+E17)*$K$9))*$L$9)+(E17*$J$9+E17)+((E17*$J$9+E17)*$K$9)</f>
        <v>65044.90172162434</v>
      </c>
      <c r="K17" s="614">
        <f aca="true" t="shared" si="6" ref="K17:K22">SUM(F17*$K$9+F17)+((F17*$K$9+F17)*$L$9)</f>
        <v>122711.6826089091</v>
      </c>
      <c r="L17" s="614">
        <f aca="true" t="shared" si="7" ref="L17:L22">SUM(G17*$L$9+G17)</f>
        <v>128292.237528</v>
      </c>
      <c r="M17" s="615">
        <f aca="true" t="shared" si="8" ref="M17:M79">(J17+K17+L17)/3</f>
        <v>105349.60728617781</v>
      </c>
      <c r="N17" s="614">
        <f>SUM(M17*$N$9+'VLR 2012 a 2018 ATUALIZ média'!M17)</f>
        <v>111849.67805573498</v>
      </c>
      <c r="O17" s="614">
        <f>N17*$O$9+'VLR 2012 a 2018 ATUALIZ média'!N17</f>
        <v>113303.72387045954</v>
      </c>
      <c r="P17" s="614">
        <f>O17*$P$9+'VLR 2012 a 2018 ATUALIZ média'!O17</f>
        <v>115456.49462399827</v>
      </c>
      <c r="Q17" s="614">
        <f>P17*$Q$9+'VLR 2012 a 2018 ATUALIZ média'!P17</f>
        <v>118227.45049497423</v>
      </c>
    </row>
    <row r="18" spans="2:17" s="618" customFormat="1" ht="12.75" customHeight="1">
      <c r="B18" s="616" t="s">
        <v>23</v>
      </c>
      <c r="C18" s="611">
        <v>0</v>
      </c>
      <c r="D18" s="583">
        <v>8</v>
      </c>
      <c r="E18" s="617">
        <v>7264.12</v>
      </c>
      <c r="F18" s="617">
        <v>8875.42</v>
      </c>
      <c r="G18" s="617">
        <v>7095.15</v>
      </c>
      <c r="H18" s="617">
        <v>4000</v>
      </c>
      <c r="I18" s="617">
        <v>1980.18</v>
      </c>
      <c r="J18" s="613">
        <f t="shared" si="5"/>
        <v>8664.67449646753</v>
      </c>
      <c r="K18" s="614">
        <f t="shared" si="6"/>
        <v>10002.4945863402</v>
      </c>
      <c r="L18" s="614">
        <f t="shared" si="7"/>
        <v>7549.949114999999</v>
      </c>
      <c r="M18" s="615">
        <f t="shared" si="8"/>
        <v>8739.039399269244</v>
      </c>
      <c r="N18" s="614">
        <f>SUM(M18*$N$9+'VLR 2012 a 2018 ATUALIZ média'!M18)</f>
        <v>9278.238130204156</v>
      </c>
      <c r="O18" s="614">
        <f>N18*$O$9+'VLR 2012 a 2018 ATUALIZ média'!N18</f>
        <v>9398.85522589681</v>
      </c>
      <c r="P18" s="614">
        <f>O18*$P$9+'VLR 2012 a 2018 ATUALIZ média'!O18</f>
        <v>9577.43347518885</v>
      </c>
      <c r="Q18" s="614">
        <f>P18*$Q$9+'VLR 2012 a 2018 ATUALIZ média'!P18</f>
        <v>9807.291878593382</v>
      </c>
    </row>
    <row r="19" spans="2:17" ht="12.75" customHeight="1">
      <c r="B19" s="609" t="s">
        <v>384</v>
      </c>
      <c r="C19" s="611">
        <v>0</v>
      </c>
      <c r="D19" s="583">
        <v>9</v>
      </c>
      <c r="E19" s="612">
        <v>16387.35</v>
      </c>
      <c r="F19" s="612">
        <v>23891.91</v>
      </c>
      <c r="G19" s="612">
        <v>38583.27</v>
      </c>
      <c r="H19" s="612">
        <v>20000</v>
      </c>
      <c r="I19" s="612">
        <v>14196.24</v>
      </c>
      <c r="J19" s="613">
        <f t="shared" si="5"/>
        <v>19546.903631780202</v>
      </c>
      <c r="K19" s="614">
        <f t="shared" si="6"/>
        <v>26925.903273572098</v>
      </c>
      <c r="L19" s="614">
        <f t="shared" si="7"/>
        <v>41056.457607</v>
      </c>
      <c r="M19" s="615">
        <f t="shared" si="8"/>
        <v>29176.421504117432</v>
      </c>
      <c r="N19" s="614">
        <f>SUM(M19*$N$9+'VLR 2012 a 2018 ATUALIZ média'!M19)</f>
        <v>30976.60671092148</v>
      </c>
      <c r="O19" s="614">
        <f>N19*$O$9+'VLR 2012 a 2018 ATUALIZ média'!N19</f>
        <v>31379.302598163456</v>
      </c>
      <c r="P19" s="614">
        <f>O19*$P$9+'VLR 2012 a 2018 ATUALIZ média'!O19</f>
        <v>31975.50934752856</v>
      </c>
      <c r="Q19" s="614">
        <f>P19*$Q$9+'VLR 2012 a 2018 ATUALIZ média'!P19</f>
        <v>32742.921571869247</v>
      </c>
    </row>
    <row r="20" spans="2:17" ht="12.75" customHeight="1">
      <c r="B20" s="609" t="s">
        <v>385</v>
      </c>
      <c r="C20" s="611">
        <v>0</v>
      </c>
      <c r="D20" s="583">
        <v>10</v>
      </c>
      <c r="E20" s="612">
        <v>371381.66</v>
      </c>
      <c r="F20" s="612">
        <v>162745.74</v>
      </c>
      <c r="G20" s="612">
        <v>140792.62</v>
      </c>
      <c r="H20" s="612">
        <v>95000</v>
      </c>
      <c r="I20" s="612">
        <v>83329.15</v>
      </c>
      <c r="J20" s="613">
        <f t="shared" si="5"/>
        <v>442985.6882675088</v>
      </c>
      <c r="K20" s="614">
        <f t="shared" si="6"/>
        <v>183412.5464822994</v>
      </c>
      <c r="L20" s="614">
        <f t="shared" si="7"/>
        <v>149817.426942</v>
      </c>
      <c r="M20" s="615">
        <f t="shared" si="8"/>
        <v>258738.5538972694</v>
      </c>
      <c r="N20" s="614">
        <f>SUM(M20*$N$9+'VLR 2012 a 2018 ATUALIZ média'!M20)</f>
        <v>274702.7226727309</v>
      </c>
      <c r="O20" s="614">
        <f>N20*$O$9+'VLR 2012 a 2018 ATUALIZ média'!N20</f>
        <v>278273.8580674764</v>
      </c>
      <c r="P20" s="614">
        <f>O20*$P$9+'VLR 2012 a 2018 ATUALIZ média'!O20</f>
        <v>283561.06137075846</v>
      </c>
      <c r="Q20" s="614">
        <f>P20*$Q$9+'VLR 2012 a 2018 ATUALIZ média'!P20</f>
        <v>290366.52684365667</v>
      </c>
    </row>
    <row r="21" spans="2:17" ht="12.75" customHeight="1">
      <c r="B21" s="609" t="s">
        <v>99</v>
      </c>
      <c r="C21" s="619">
        <v>0</v>
      </c>
      <c r="D21" s="583">
        <v>11</v>
      </c>
      <c r="E21" s="612">
        <v>42175.71</v>
      </c>
      <c r="F21" s="612">
        <v>61829.44</v>
      </c>
      <c r="G21" s="612">
        <v>76674.18</v>
      </c>
      <c r="H21" s="612">
        <v>75000</v>
      </c>
      <c r="I21" s="612">
        <v>73106.46</v>
      </c>
      <c r="J21" s="613">
        <f t="shared" si="5"/>
        <v>50307.37361268958</v>
      </c>
      <c r="K21" s="614">
        <f t="shared" si="6"/>
        <v>69681.0560938464</v>
      </c>
      <c r="L21" s="614">
        <f t="shared" si="7"/>
        <v>81588.99493799999</v>
      </c>
      <c r="M21" s="615">
        <f t="shared" si="8"/>
        <v>67192.474881512</v>
      </c>
      <c r="N21" s="614">
        <f>SUM(M21*$N$9+'VLR 2012 a 2018 ATUALIZ média'!M21)</f>
        <v>71338.25058170129</v>
      </c>
      <c r="O21" s="614">
        <f>N21*$O$9+'VLR 2012 a 2018 ATUALIZ média'!N21</f>
        <v>72265.6478392634</v>
      </c>
      <c r="P21" s="614">
        <f>O21*$P$9+'VLR 2012 a 2018 ATUALIZ média'!O21</f>
        <v>73638.6951482094</v>
      </c>
      <c r="Q21" s="614">
        <f>P21*$Q$9+'VLR 2012 a 2018 ATUALIZ média'!P21</f>
        <v>75406.02383176643</v>
      </c>
    </row>
    <row r="22" spans="2:17" ht="12.75" customHeight="1">
      <c r="B22" s="609" t="s">
        <v>198</v>
      </c>
      <c r="C22" s="619">
        <v>0</v>
      </c>
      <c r="D22" s="583">
        <v>12</v>
      </c>
      <c r="E22" s="612">
        <v>2766.18</v>
      </c>
      <c r="F22" s="612">
        <v>25370.17</v>
      </c>
      <c r="G22" s="612">
        <v>15976.37</v>
      </c>
      <c r="H22" s="612">
        <v>22000</v>
      </c>
      <c r="I22" s="612">
        <v>6892.44</v>
      </c>
      <c r="J22" s="613">
        <f t="shared" si="5"/>
        <v>3299.5117507197783</v>
      </c>
      <c r="K22" s="614">
        <f t="shared" si="6"/>
        <v>28591.8850127127</v>
      </c>
      <c r="L22" s="614">
        <f t="shared" si="7"/>
        <v>17000.455317</v>
      </c>
      <c r="M22" s="615">
        <f t="shared" si="8"/>
        <v>16297.284026810827</v>
      </c>
      <c r="N22" s="614">
        <f>SUM(M22*$N$9+'VLR 2012 a 2018 ATUALIZ média'!M22)</f>
        <v>17302.826451265053</v>
      </c>
      <c r="O22" s="614">
        <f>N22*$O$9+'VLR 2012 a 2018 ATUALIZ média'!N22</f>
        <v>17527.763195131498</v>
      </c>
      <c r="P22" s="614">
        <f>O22*$P$9+'VLR 2012 a 2018 ATUALIZ média'!O22</f>
        <v>17860.790695838998</v>
      </c>
      <c r="Q22" s="614">
        <f>P22*$Q$9+'VLR 2012 a 2018 ATUALIZ média'!P22</f>
        <v>18289.449672539133</v>
      </c>
    </row>
    <row r="23" spans="2:17" s="605" customFormat="1" ht="12.75" customHeight="1">
      <c r="B23" s="606" t="s">
        <v>100</v>
      </c>
      <c r="C23" s="607" t="s">
        <v>733</v>
      </c>
      <c r="D23" s="583">
        <v>13</v>
      </c>
      <c r="E23" s="608">
        <f>SUM(E24:E27)</f>
        <v>36216.59</v>
      </c>
      <c r="F23" s="608">
        <f>SUM(F24:F27)</f>
        <v>32583.9</v>
      </c>
      <c r="G23" s="608">
        <f aca="true" t="shared" si="9" ref="G23:M23">SUM(G24:G27)</f>
        <v>34203.72</v>
      </c>
      <c r="H23" s="608">
        <f t="shared" si="9"/>
        <v>34000</v>
      </c>
      <c r="I23" s="608">
        <f t="shared" si="9"/>
        <v>16997.57</v>
      </c>
      <c r="J23" s="608">
        <f t="shared" si="9"/>
        <v>43199.30889385378</v>
      </c>
      <c r="K23" s="608">
        <f t="shared" si="9"/>
        <v>36721.674394208996</v>
      </c>
      <c r="L23" s="608">
        <f t="shared" si="9"/>
        <v>36396.178452</v>
      </c>
      <c r="M23" s="608">
        <f t="shared" si="9"/>
        <v>38772.387246687584</v>
      </c>
      <c r="N23" s="608">
        <f>SUM(N24:N27)</f>
        <v>41164.64353980821</v>
      </c>
      <c r="O23" s="770">
        <f>SUM(O24:O27)</f>
        <v>41699.783905825716</v>
      </c>
      <c r="P23" s="608">
        <f>SUM(P24:P27)</f>
        <v>42492.0798000364</v>
      </c>
      <c r="Q23" s="608">
        <f>SUM(Q24:Q27)</f>
        <v>43511.889715237274</v>
      </c>
    </row>
    <row r="24" spans="2:17" ht="12.75" customHeight="1">
      <c r="B24" s="609" t="s">
        <v>202</v>
      </c>
      <c r="C24" s="611">
        <v>0</v>
      </c>
      <c r="D24" s="583">
        <v>14</v>
      </c>
      <c r="E24" s="612">
        <v>0</v>
      </c>
      <c r="F24" s="612">
        <v>0</v>
      </c>
      <c r="G24" s="612">
        <v>0</v>
      </c>
      <c r="H24" s="612">
        <v>0</v>
      </c>
      <c r="I24" s="612">
        <v>0</v>
      </c>
      <c r="J24" s="613">
        <f>SUM(((E24*$J$9+E24)+((E24*$J$9+E24)*$K$9))*$L$9)+(E24*$J$9+E24)+((E24*$J$9+E24)*$K$9)</f>
        <v>0</v>
      </c>
      <c r="K24" s="614">
        <f>SUM(F24*$K$9+F24)+((F24*$K$9+F24)*$L$9)</f>
        <v>0</v>
      </c>
      <c r="L24" s="614">
        <f>SUM(G24*$L$9+G24)</f>
        <v>0</v>
      </c>
      <c r="M24" s="615">
        <f t="shared" si="8"/>
        <v>0</v>
      </c>
      <c r="N24" s="614">
        <f>SUM(M24*$N$9+'VLR 2012 a 2018 ATUALIZ média'!M24)</f>
        <v>0</v>
      </c>
      <c r="O24" s="614">
        <f>N24*$O$9+'VLR 2012 a 2018 ATUALIZ média'!N24</f>
        <v>0</v>
      </c>
      <c r="P24" s="614">
        <f>O24*$P$9+'VLR 2012 a 2018 ATUALIZ média'!O24</f>
        <v>0</v>
      </c>
      <c r="Q24" s="614">
        <f>P24*$Q$9+'VLR 2012 a 2018 ATUALIZ média'!P24</f>
        <v>0</v>
      </c>
    </row>
    <row r="25" spans="2:17" ht="12.75" customHeight="1">
      <c r="B25" s="609" t="s">
        <v>203</v>
      </c>
      <c r="C25" s="611">
        <v>0</v>
      </c>
      <c r="D25" s="583">
        <v>15</v>
      </c>
      <c r="E25" s="612">
        <v>0</v>
      </c>
      <c r="F25" s="612">
        <v>0</v>
      </c>
      <c r="G25" s="612">
        <v>0</v>
      </c>
      <c r="H25" s="612">
        <v>0</v>
      </c>
      <c r="I25" s="612">
        <v>0</v>
      </c>
      <c r="J25" s="613">
        <f>SUM(((E25*$J$9+E25)+((E25*$J$9+E25)*$K$9))*$L$9)+(E25*$J$9+E25)+((E25*$J$9+E25)*$K$9)</f>
        <v>0</v>
      </c>
      <c r="K25" s="614">
        <f>SUM(F25*$K$9+F25)+((F25*$K$9+F25)*$L$9)</f>
        <v>0</v>
      </c>
      <c r="L25" s="614">
        <f>SUM(G25*$L$9+G25)</f>
        <v>0</v>
      </c>
      <c r="M25" s="615">
        <f t="shared" si="8"/>
        <v>0</v>
      </c>
      <c r="N25" s="614">
        <f>SUM(M25*$N$9+'VLR 2012 a 2018 ATUALIZ média'!M25)</f>
        <v>0</v>
      </c>
      <c r="O25" s="614">
        <f>N25*$O$9+'VLR 2012 a 2018 ATUALIZ média'!N25</f>
        <v>0</v>
      </c>
      <c r="P25" s="614">
        <f>O25*$P$9+'VLR 2012 a 2018 ATUALIZ média'!O25</f>
        <v>0</v>
      </c>
      <c r="Q25" s="614">
        <f>P25*$Q$9+'VLR 2012 a 2018 ATUALIZ média'!P25</f>
        <v>0</v>
      </c>
    </row>
    <row r="26" spans="2:17" ht="12.75" customHeight="1">
      <c r="B26" s="609" t="s">
        <v>204</v>
      </c>
      <c r="C26" s="611">
        <v>0</v>
      </c>
      <c r="D26" s="583">
        <v>16</v>
      </c>
      <c r="E26" s="612">
        <v>36216.59</v>
      </c>
      <c r="F26" s="612">
        <v>32583.9</v>
      </c>
      <c r="G26" s="612">
        <v>34203.72</v>
      </c>
      <c r="H26" s="612">
        <v>34000</v>
      </c>
      <c r="I26" s="612">
        <v>16997.57</v>
      </c>
      <c r="J26" s="613">
        <f>SUM(((E26*$J$9+E26)+((E26*$J$9+E26)*$K$9))*$L$9)+(E26*$J$9+E26)+((E26*$J$9+E26)*$K$9)</f>
        <v>43199.30889385378</v>
      </c>
      <c r="K26" s="614">
        <f>SUM(F26*$K$9+F26)+((F26*$K$9+F26)*$L$9)</f>
        <v>36721.674394208996</v>
      </c>
      <c r="L26" s="614">
        <f>SUM(G26*$L$9+G26)</f>
        <v>36396.178452</v>
      </c>
      <c r="M26" s="615">
        <f t="shared" si="8"/>
        <v>38772.387246687584</v>
      </c>
      <c r="N26" s="614">
        <f>SUM(M26*$N$9+'VLR 2012 a 2018 ATUALIZ média'!M26)</f>
        <v>41164.64353980821</v>
      </c>
      <c r="O26" s="614">
        <f>N26*$O$9+'VLR 2012 a 2018 ATUALIZ média'!N26</f>
        <v>41699.783905825716</v>
      </c>
      <c r="P26" s="614">
        <f>O26*$P$9+'VLR 2012 a 2018 ATUALIZ média'!O26</f>
        <v>42492.0798000364</v>
      </c>
      <c r="Q26" s="614">
        <f>P26*$Q$9+'VLR 2012 a 2018 ATUALIZ média'!P26</f>
        <v>43511.889715237274</v>
      </c>
    </row>
    <row r="27" spans="2:17" ht="12.75" customHeight="1">
      <c r="B27" s="609" t="s">
        <v>101</v>
      </c>
      <c r="C27" s="611">
        <v>0</v>
      </c>
      <c r="D27" s="583">
        <v>17</v>
      </c>
      <c r="E27" s="612">
        <v>0</v>
      </c>
      <c r="F27" s="612">
        <v>0</v>
      </c>
      <c r="G27" s="612">
        <v>0</v>
      </c>
      <c r="H27" s="612">
        <v>0</v>
      </c>
      <c r="I27" s="612">
        <v>0</v>
      </c>
      <c r="J27" s="613">
        <f>SUM(((E27*$J$9+E27)+((E27*$J$9+E27)*$K$9))*$L$9)+(E27*$J$9+E27)+((E27*$J$9+E27)*$K$9)</f>
        <v>0</v>
      </c>
      <c r="K27" s="614">
        <f>SUM(F27*$K$9+F27)+((F27*$K$9+F27)*$L$9)</f>
        <v>0</v>
      </c>
      <c r="L27" s="614">
        <f>SUM(G27*$L$9+G27)</f>
        <v>0</v>
      </c>
      <c r="M27" s="615">
        <f t="shared" si="8"/>
        <v>0</v>
      </c>
      <c r="N27" s="614">
        <f>SUM(M27*$N$9+'VLR 2012 a 2018 ATUALIZ média'!M27)</f>
        <v>0</v>
      </c>
      <c r="O27" s="614">
        <f>N27*$O$9+'VLR 2012 a 2018 ATUALIZ média'!N27</f>
        <v>0</v>
      </c>
      <c r="P27" s="614">
        <f>O27*$P$9+'VLR 2012 a 2018 ATUALIZ média'!O27</f>
        <v>0</v>
      </c>
      <c r="Q27" s="614">
        <f>P27*$Q$9+'VLR 2012 a 2018 ATUALIZ média'!P27</f>
        <v>0</v>
      </c>
    </row>
    <row r="28" spans="2:17" s="605" customFormat="1" ht="12.75" customHeight="1">
      <c r="B28" s="606" t="s">
        <v>102</v>
      </c>
      <c r="C28" s="607" t="s">
        <v>745</v>
      </c>
      <c r="D28" s="583">
        <v>18</v>
      </c>
      <c r="E28" s="608">
        <f>+E29+E40</f>
        <v>187976.68999999997</v>
      </c>
      <c r="F28" s="608">
        <f>+F29+F40</f>
        <v>121958.35</v>
      </c>
      <c r="G28" s="608">
        <f aca="true" t="shared" si="10" ref="G28:M28">+G29+G40</f>
        <v>227759.06</v>
      </c>
      <c r="H28" s="608">
        <f t="shared" si="10"/>
        <v>117200</v>
      </c>
      <c r="I28" s="608">
        <f t="shared" si="10"/>
        <v>127951.17</v>
      </c>
      <c r="J28" s="608">
        <f t="shared" si="10"/>
        <v>224219.42521342967</v>
      </c>
      <c r="K28" s="608">
        <f t="shared" si="10"/>
        <v>137445.6347568885</v>
      </c>
      <c r="L28" s="608">
        <f t="shared" si="10"/>
        <v>242358.415746</v>
      </c>
      <c r="M28" s="608">
        <f t="shared" si="10"/>
        <v>201341.15857210604</v>
      </c>
      <c r="N28" s="608">
        <f>+N29+N40</f>
        <v>213763.90805600502</v>
      </c>
      <c r="O28" s="770">
        <f>+O29+O40</f>
        <v>216542.83886073309</v>
      </c>
      <c r="P28" s="608">
        <f>+P29+P40</f>
        <v>220657.15279908697</v>
      </c>
      <c r="Q28" s="608">
        <f>+Q29+Q40</f>
        <v>225952.92446626507</v>
      </c>
    </row>
    <row r="29" spans="2:17" ht="15.75" customHeight="1">
      <c r="B29" s="609" t="s">
        <v>205</v>
      </c>
      <c r="C29" s="620" t="s">
        <v>321</v>
      </c>
      <c r="D29" s="583">
        <v>19</v>
      </c>
      <c r="E29" s="603">
        <f>SUM(E30:E39)</f>
        <v>185265.41999999998</v>
      </c>
      <c r="F29" s="603">
        <f>SUM(F30:F39)</f>
        <v>114639.82</v>
      </c>
      <c r="G29" s="603">
        <f aca="true" t="shared" si="11" ref="G29:M29">SUM(G30:G39)</f>
        <v>203317.41999999998</v>
      </c>
      <c r="H29" s="603">
        <f t="shared" si="11"/>
        <v>114200</v>
      </c>
      <c r="I29" s="603">
        <f t="shared" si="11"/>
        <v>120004.3</v>
      </c>
      <c r="J29" s="603">
        <f t="shared" si="11"/>
        <v>220985.41035381315</v>
      </c>
      <c r="K29" s="603">
        <f t="shared" si="11"/>
        <v>129197.73700050419</v>
      </c>
      <c r="L29" s="603">
        <f t="shared" si="11"/>
        <v>216350.066622</v>
      </c>
      <c r="M29" s="603">
        <f t="shared" si="11"/>
        <v>188844.40465877243</v>
      </c>
      <c r="N29" s="603">
        <f>SUM(N30:N39)</f>
        <v>200496.10442621872</v>
      </c>
      <c r="O29" s="769">
        <f>SUM(O30:O39)</f>
        <v>203102.55378375956</v>
      </c>
      <c r="P29" s="603">
        <f>SUM(P30:P39)</f>
        <v>206961.50230565097</v>
      </c>
      <c r="Q29" s="603">
        <f>SUM(Q30:Q39)</f>
        <v>211928.5783609866</v>
      </c>
    </row>
    <row r="30" spans="2:17" ht="12.75" customHeight="1">
      <c r="B30" s="609" t="s">
        <v>177</v>
      </c>
      <c r="C30" s="611">
        <v>0</v>
      </c>
      <c r="D30" s="583">
        <v>20</v>
      </c>
      <c r="E30" s="612">
        <v>1012.9</v>
      </c>
      <c r="F30" s="612">
        <v>1337.41</v>
      </c>
      <c r="G30" s="612">
        <v>2371.66</v>
      </c>
      <c r="H30" s="612">
        <v>1500</v>
      </c>
      <c r="I30" s="612">
        <v>2306.18</v>
      </c>
      <c r="J30" s="613">
        <f aca="true" t="shared" si="12" ref="J30:J40">SUM(((E30*$J$9+E30)+((E30*$J$9+E30)*$K$9))*$L$9)+(E30*$J$9+E30)+((E30*$J$9+E30)*$K$9)</f>
        <v>1208.1916044162215</v>
      </c>
      <c r="K30" s="614">
        <f aca="true" t="shared" si="13" ref="K30:K40">SUM(F30*$K$9+F30)+((F30*$K$9+F30)*$L$9)</f>
        <v>1507.2454356771</v>
      </c>
      <c r="L30" s="614">
        <f aca="true" t="shared" si="14" ref="L30:L40">SUM(G30*$L$9+G30)</f>
        <v>2523.6834059999996</v>
      </c>
      <c r="M30" s="615">
        <f t="shared" si="8"/>
        <v>1746.3734820311067</v>
      </c>
      <c r="N30" s="614">
        <f>SUM(M30*$N$9+'VLR 2012 a 2018 ATUALIZ média'!M30)</f>
        <v>1854.124725872426</v>
      </c>
      <c r="O30" s="614">
        <f>N30*$O$9+'VLR 2012 a 2018 ATUALIZ média'!N30</f>
        <v>1878.2283473087675</v>
      </c>
      <c r="P30" s="614">
        <f>O30*$P$9+'VLR 2012 a 2018 ATUALIZ média'!O30</f>
        <v>1913.914685907634</v>
      </c>
      <c r="Q30" s="614">
        <f>P30*$Q$9+'VLR 2012 a 2018 ATUALIZ média'!P30</f>
        <v>1959.8486383694174</v>
      </c>
    </row>
    <row r="31" spans="2:17" s="623" customFormat="1" ht="12.75" customHeight="1">
      <c r="B31" s="621" t="s">
        <v>402</v>
      </c>
      <c r="C31" s="611">
        <v>0</v>
      </c>
      <c r="D31" s="583">
        <v>21</v>
      </c>
      <c r="E31" s="617">
        <v>1901.36</v>
      </c>
      <c r="F31" s="617">
        <v>1276.9</v>
      </c>
      <c r="G31" s="617">
        <v>1842.65</v>
      </c>
      <c r="H31" s="617">
        <v>1500</v>
      </c>
      <c r="I31" s="617">
        <v>2308.94</v>
      </c>
      <c r="J31" s="613">
        <f t="shared" si="12"/>
        <v>2267.9506258987335</v>
      </c>
      <c r="K31" s="614">
        <f t="shared" si="13"/>
        <v>1439.051373039</v>
      </c>
      <c r="L31" s="614">
        <f t="shared" si="14"/>
        <v>1960.7638650000001</v>
      </c>
      <c r="M31" s="615">
        <f t="shared" si="8"/>
        <v>1889.2552879792445</v>
      </c>
      <c r="N31" s="614">
        <f>SUM(M31*$N$9+'VLR 2012 a 2018 ATUALIZ média'!M31)</f>
        <v>2005.8223392475638</v>
      </c>
      <c r="O31" s="614">
        <f>N31*$O$9+'VLR 2012 a 2018 ATUALIZ média'!N31</f>
        <v>2031.8980296577822</v>
      </c>
      <c r="P31" s="614">
        <f>O31*$P$9+'VLR 2012 a 2018 ATUALIZ média'!O31</f>
        <v>2070.50409222128</v>
      </c>
      <c r="Q31" s="614">
        <f>P31*$Q$9+'VLR 2012 a 2018 ATUALIZ média'!P31</f>
        <v>2120.196190434591</v>
      </c>
    </row>
    <row r="32" spans="2:17" s="623" customFormat="1" ht="12.75" customHeight="1">
      <c r="B32" s="621" t="s">
        <v>405</v>
      </c>
      <c r="C32" s="611">
        <v>0</v>
      </c>
      <c r="D32" s="583">
        <v>22</v>
      </c>
      <c r="E32" s="617">
        <v>283.15</v>
      </c>
      <c r="F32" s="617">
        <v>299.35</v>
      </c>
      <c r="G32" s="617">
        <v>854.07</v>
      </c>
      <c r="H32" s="617">
        <v>500</v>
      </c>
      <c r="I32" s="617">
        <v>1340.92</v>
      </c>
      <c r="J32" s="613">
        <f t="shared" si="12"/>
        <v>337.74257359112755</v>
      </c>
      <c r="K32" s="614">
        <f t="shared" si="13"/>
        <v>337.3639505985</v>
      </c>
      <c r="L32" s="614">
        <f t="shared" si="14"/>
        <v>908.8158870000001</v>
      </c>
      <c r="M32" s="615">
        <f t="shared" si="8"/>
        <v>527.9741370632092</v>
      </c>
      <c r="N32" s="614">
        <f>SUM(M32*$N$9+'VLR 2012 a 2018 ATUALIZ média'!M32)</f>
        <v>560.5501413200093</v>
      </c>
      <c r="O32" s="614">
        <f>N32*$O$9+'VLR 2012 a 2018 ATUALIZ média'!N32</f>
        <v>567.8372931571694</v>
      </c>
      <c r="P32" s="614">
        <f>O32*$P$9+'VLR 2012 a 2018 ATUALIZ média'!O32</f>
        <v>578.6262017271556</v>
      </c>
      <c r="Q32" s="614">
        <f>P32*$Q$9+'VLR 2012 a 2018 ATUALIZ média'!P32</f>
        <v>592.5132305686074</v>
      </c>
    </row>
    <row r="33" spans="2:17" s="626" customFormat="1" ht="12.75" customHeight="1">
      <c r="B33" s="624" t="s">
        <v>403</v>
      </c>
      <c r="C33" s="611">
        <v>0</v>
      </c>
      <c r="D33" s="583">
        <v>23</v>
      </c>
      <c r="E33" s="625">
        <v>4550.56</v>
      </c>
      <c r="F33" s="625">
        <v>2872.49</v>
      </c>
      <c r="G33" s="625">
        <v>3635.51</v>
      </c>
      <c r="H33" s="625">
        <v>3000</v>
      </c>
      <c r="I33" s="625">
        <v>6728.38</v>
      </c>
      <c r="J33" s="613">
        <f t="shared" si="12"/>
        <v>5427.928114712491</v>
      </c>
      <c r="K33" s="614">
        <f t="shared" si="13"/>
        <v>3237.2626505918997</v>
      </c>
      <c r="L33" s="614">
        <f t="shared" si="14"/>
        <v>3868.5461910000004</v>
      </c>
      <c r="M33" s="615">
        <f t="shared" si="8"/>
        <v>4177.91231876813</v>
      </c>
      <c r="N33" s="614">
        <f>SUM(M33*$N$9+'VLR 2012 a 2018 ATUALIZ média'!M33)</f>
        <v>4435.689508836123</v>
      </c>
      <c r="O33" s="614">
        <f>N33*$O$9+'VLR 2012 a 2018 ATUALIZ média'!N33</f>
        <v>4493.353472450993</v>
      </c>
      <c r="P33" s="614">
        <f>O33*$P$9+'VLR 2012 a 2018 ATUALIZ média'!O33</f>
        <v>4578.7271884275615</v>
      </c>
      <c r="Q33" s="614">
        <f>P33*$Q$9+'VLR 2012 a 2018 ATUALIZ média'!P33</f>
        <v>4688.616640949823</v>
      </c>
    </row>
    <row r="34" spans="2:17" s="626" customFormat="1" ht="12.75" customHeight="1">
      <c r="B34" s="624" t="s">
        <v>404</v>
      </c>
      <c r="C34" s="611">
        <v>0</v>
      </c>
      <c r="D34" s="583">
        <v>24</v>
      </c>
      <c r="E34" s="625">
        <v>333.08</v>
      </c>
      <c r="F34" s="625">
        <v>515.64</v>
      </c>
      <c r="G34" s="625">
        <v>856.47</v>
      </c>
      <c r="H34" s="625">
        <v>700</v>
      </c>
      <c r="I34" s="625">
        <v>791.11</v>
      </c>
      <c r="J34" s="613">
        <f t="shared" si="12"/>
        <v>397.29929864641633</v>
      </c>
      <c r="K34" s="614">
        <f t="shared" si="13"/>
        <v>581.1202521684</v>
      </c>
      <c r="L34" s="614">
        <f t="shared" si="14"/>
        <v>911.369727</v>
      </c>
      <c r="M34" s="615">
        <f t="shared" si="8"/>
        <v>629.9297592716055</v>
      </c>
      <c r="N34" s="614">
        <f>SUM(M34*$N$9+'VLR 2012 a 2018 ATUALIZ média'!M34)</f>
        <v>668.7964254186635</v>
      </c>
      <c r="O34" s="614">
        <f>N34*$O$9+'VLR 2012 a 2018 ATUALIZ média'!N34</f>
        <v>677.4907789491061</v>
      </c>
      <c r="P34" s="614">
        <f>O34*$P$9+'VLR 2012 a 2018 ATUALIZ média'!O34</f>
        <v>690.3631037491391</v>
      </c>
      <c r="Q34" s="614">
        <f>P34*$Q$9+'VLR 2012 a 2018 ATUALIZ média'!P34</f>
        <v>706.9318182391185</v>
      </c>
    </row>
    <row r="35" spans="2:17" ht="12.75" customHeight="1">
      <c r="B35" s="609" t="s">
        <v>219</v>
      </c>
      <c r="C35" s="611">
        <v>0</v>
      </c>
      <c r="D35" s="583">
        <v>25</v>
      </c>
      <c r="E35" s="612">
        <v>351.46</v>
      </c>
      <c r="F35" s="612">
        <v>713.29</v>
      </c>
      <c r="G35" s="612">
        <v>5188.02</v>
      </c>
      <c r="H35" s="612">
        <v>3000</v>
      </c>
      <c r="I35" s="612">
        <v>3307.93</v>
      </c>
      <c r="J35" s="613">
        <f t="shared" si="12"/>
        <v>419.22304402026384</v>
      </c>
      <c r="K35" s="614">
        <f t="shared" si="13"/>
        <v>803.8694916398999</v>
      </c>
      <c r="L35" s="614">
        <f t="shared" si="14"/>
        <v>5520.572082000001</v>
      </c>
      <c r="M35" s="615">
        <f t="shared" si="8"/>
        <v>2247.8882058867216</v>
      </c>
      <c r="N35" s="614">
        <f>SUM(M35*$N$9+'VLR 2012 a 2018 ATUALIZ média'!M35)</f>
        <v>2386.5829081899324</v>
      </c>
      <c r="O35" s="614">
        <f>N35*$O$9+'VLR 2012 a 2018 ATUALIZ média'!N35</f>
        <v>2417.6084859964017</v>
      </c>
      <c r="P35" s="614">
        <f>O35*$P$9+'VLR 2012 a 2018 ATUALIZ média'!O35</f>
        <v>2463.5430472303333</v>
      </c>
      <c r="Q35" s="614">
        <f>P35*$Q$9+'VLR 2012 a 2018 ATUALIZ média'!P35</f>
        <v>2522.6680803638615</v>
      </c>
    </row>
    <row r="36" spans="2:17" ht="12.75" customHeight="1">
      <c r="B36" s="609" t="s">
        <v>222</v>
      </c>
      <c r="C36" s="611">
        <v>0</v>
      </c>
      <c r="D36" s="583">
        <v>26</v>
      </c>
      <c r="E36" s="612">
        <v>0</v>
      </c>
      <c r="F36" s="612">
        <v>0</v>
      </c>
      <c r="G36" s="612">
        <v>0</v>
      </c>
      <c r="H36" s="612">
        <v>0</v>
      </c>
      <c r="I36" s="612">
        <v>0</v>
      </c>
      <c r="J36" s="613">
        <f t="shared" si="12"/>
        <v>0</v>
      </c>
      <c r="K36" s="614">
        <f t="shared" si="13"/>
        <v>0</v>
      </c>
      <c r="L36" s="614">
        <f t="shared" si="14"/>
        <v>0</v>
      </c>
      <c r="M36" s="615">
        <f t="shared" si="8"/>
        <v>0</v>
      </c>
      <c r="N36" s="614">
        <f>SUM(M36*$N$9+'VLR 2012 a 2018 ATUALIZ média'!M36)</f>
        <v>0</v>
      </c>
      <c r="O36" s="614">
        <f>N36*$O$9+'VLR 2012 a 2018 ATUALIZ média'!N36</f>
        <v>0</v>
      </c>
      <c r="P36" s="614">
        <f>O36*$P$9+'VLR 2012 a 2018 ATUALIZ média'!O36</f>
        <v>0</v>
      </c>
      <c r="Q36" s="614">
        <f>P36*$Q$9+'VLR 2012 a 2018 ATUALIZ média'!P36</f>
        <v>0</v>
      </c>
    </row>
    <row r="37" spans="2:17" ht="12.75" customHeight="1">
      <c r="B37" s="795" t="s">
        <v>1112</v>
      </c>
      <c r="C37" s="611">
        <v>0</v>
      </c>
      <c r="D37" s="583">
        <v>27</v>
      </c>
      <c r="E37" s="612">
        <v>40129.28</v>
      </c>
      <c r="F37" s="612">
        <v>18317.89</v>
      </c>
      <c r="G37" s="612">
        <v>40602.96</v>
      </c>
      <c r="H37" s="612">
        <v>20000</v>
      </c>
      <c r="I37" s="612">
        <v>18781.29</v>
      </c>
      <c r="J37" s="613">
        <v>47866.38</v>
      </c>
      <c r="K37" s="614">
        <f t="shared" si="13"/>
        <v>20644.0478938659</v>
      </c>
      <c r="L37" s="614">
        <f t="shared" si="14"/>
        <v>43205.609736</v>
      </c>
      <c r="M37" s="615">
        <f t="shared" si="8"/>
        <v>37238.6792099553</v>
      </c>
      <c r="N37" s="614">
        <f>SUM(M37*$N$9+'VLR 2012 a 2018 ATUALIZ média'!M37)</f>
        <v>39536.30571720954</v>
      </c>
      <c r="O37" s="614">
        <f>N37*$O$9+'VLR 2012 a 2018 ATUALIZ média'!N37</f>
        <v>40050.277691533265</v>
      </c>
      <c r="P37" s="614">
        <f>O37*$P$9+'VLR 2012 a 2018 ATUALIZ média'!O37</f>
        <v>40811.2329676724</v>
      </c>
      <c r="Q37" s="614">
        <f>P37*$Q$9+'VLR 2012 a 2018 ATUALIZ média'!P37</f>
        <v>41790.70255889653</v>
      </c>
    </row>
    <row r="38" spans="2:17" ht="12.75" customHeight="1">
      <c r="B38" s="609" t="s">
        <v>220</v>
      </c>
      <c r="C38" s="611">
        <v>0</v>
      </c>
      <c r="D38" s="583">
        <v>28</v>
      </c>
      <c r="E38" s="612">
        <v>10479.85</v>
      </c>
      <c r="F38" s="612">
        <v>14274.76</v>
      </c>
      <c r="G38" s="612">
        <v>23058.48</v>
      </c>
      <c r="H38" s="612">
        <v>14000</v>
      </c>
      <c r="I38" s="612">
        <v>2344.55</v>
      </c>
      <c r="J38" s="613">
        <f t="shared" si="12"/>
        <v>12500.411477481826</v>
      </c>
      <c r="K38" s="614">
        <f t="shared" si="13"/>
        <v>16087.487648055601</v>
      </c>
      <c r="L38" s="614">
        <f t="shared" si="14"/>
        <v>24536.528568</v>
      </c>
      <c r="M38" s="615">
        <f t="shared" si="8"/>
        <v>17708.142564512476</v>
      </c>
      <c r="N38" s="614">
        <f>SUM(M38*$N$9+'VLR 2012 a 2018 ATUALIZ média'!M38)</f>
        <v>18800.734960742895</v>
      </c>
      <c r="O38" s="614">
        <f>N38*$O$9+'VLR 2012 a 2018 ATUALIZ média'!N38</f>
        <v>19045.144515232554</v>
      </c>
      <c r="P38" s="614">
        <f>O38*$P$9+'VLR 2012 a 2018 ATUALIZ média'!O38</f>
        <v>19407.00226102197</v>
      </c>
      <c r="Q38" s="614">
        <f>P38*$Q$9+'VLR 2012 a 2018 ATUALIZ média'!P38</f>
        <v>19872.7703152865</v>
      </c>
    </row>
    <row r="39" spans="2:17" ht="12.75" customHeight="1">
      <c r="B39" s="609" t="s">
        <v>221</v>
      </c>
      <c r="C39" s="611">
        <v>0</v>
      </c>
      <c r="D39" s="583">
        <v>29</v>
      </c>
      <c r="E39" s="612">
        <v>126223.78</v>
      </c>
      <c r="F39" s="612">
        <v>75032.09</v>
      </c>
      <c r="G39" s="612">
        <v>124907.6</v>
      </c>
      <c r="H39" s="612">
        <v>70000</v>
      </c>
      <c r="I39" s="612">
        <v>82095</v>
      </c>
      <c r="J39" s="613">
        <f t="shared" si="12"/>
        <v>150560.28361504606</v>
      </c>
      <c r="K39" s="614">
        <f t="shared" si="13"/>
        <v>84560.28830486789</v>
      </c>
      <c r="L39" s="614">
        <f t="shared" si="14"/>
        <v>132914.17716000002</v>
      </c>
      <c r="M39" s="615">
        <f t="shared" si="8"/>
        <v>122678.24969330465</v>
      </c>
      <c r="N39" s="614">
        <f>SUM(M39*$N$9+'VLR 2012 a 2018 ATUALIZ média'!M39)</f>
        <v>130247.49769938155</v>
      </c>
      <c r="O39" s="614">
        <f>N39*$O$9+'VLR 2012 a 2018 ATUALIZ média'!N39</f>
        <v>131940.71516947352</v>
      </c>
      <c r="P39" s="614">
        <f>O39*$P$9+'VLR 2012 a 2018 ATUALIZ média'!O39</f>
        <v>134447.5887576935</v>
      </c>
      <c r="Q39" s="614">
        <f>P39*$Q$9+'VLR 2012 a 2018 ATUALIZ média'!P39</f>
        <v>137674.33088787814</v>
      </c>
    </row>
    <row r="40" spans="2:17" ht="12.75" customHeight="1">
      <c r="B40" s="609" t="s">
        <v>103</v>
      </c>
      <c r="C40" s="610">
        <v>0</v>
      </c>
      <c r="D40" s="583">
        <v>30</v>
      </c>
      <c r="E40" s="612">
        <v>2711.27</v>
      </c>
      <c r="F40" s="612">
        <v>7318.53</v>
      </c>
      <c r="G40" s="612">
        <v>24441.64</v>
      </c>
      <c r="H40" s="612">
        <v>3000</v>
      </c>
      <c r="I40" s="612">
        <v>7946.87</v>
      </c>
      <c r="J40" s="613">
        <f t="shared" si="12"/>
        <v>3234.014859616516</v>
      </c>
      <c r="K40" s="614">
        <f t="shared" si="13"/>
        <v>8247.8977563843</v>
      </c>
      <c r="L40" s="614">
        <f t="shared" si="14"/>
        <v>26008.349124</v>
      </c>
      <c r="M40" s="615">
        <f t="shared" si="8"/>
        <v>12496.753913333605</v>
      </c>
      <c r="N40" s="614">
        <f>SUM(M40*$N$9+'VLR 2012 a 2018 ATUALIZ média'!M40)</f>
        <v>13267.80362978629</v>
      </c>
      <c r="O40" s="614">
        <f>N40*$O$9+'VLR 2012 a 2018 ATUALIZ média'!N40</f>
        <v>13440.28507697351</v>
      </c>
      <c r="P40" s="614">
        <f>O40*$P$9+'VLR 2012 a 2018 ATUALIZ média'!O40</f>
        <v>13695.650493436007</v>
      </c>
      <c r="Q40" s="614">
        <f>P40*$Q$9+'VLR 2012 a 2018 ATUALIZ média'!P40</f>
        <v>14024.346105278471</v>
      </c>
    </row>
    <row r="41" spans="2:17" s="605" customFormat="1" ht="12.75" customHeight="1">
      <c r="B41" s="606" t="s">
        <v>95</v>
      </c>
      <c r="C41" s="607">
        <v>0</v>
      </c>
      <c r="D41" s="583">
        <v>31</v>
      </c>
      <c r="E41" s="627">
        <v>0</v>
      </c>
      <c r="F41" s="627">
        <v>0</v>
      </c>
      <c r="G41" s="627">
        <v>0</v>
      </c>
      <c r="H41" s="627">
        <v>0</v>
      </c>
      <c r="I41" s="627">
        <v>0</v>
      </c>
      <c r="J41" s="628">
        <f>SUM(((E41*$J$9+E41)+((E41*$J$9+E41)*$K$9))*$L$9)+(E41*$J$9+E41)+((E41*$J$9+E41)*$K$9)</f>
        <v>0</v>
      </c>
      <c r="K41" s="629">
        <f>SUM(F41*$K$9+F41)+((F41*$K$9+F41)*$L$9)</f>
        <v>0</v>
      </c>
      <c r="L41" s="629">
        <f>SUM(G41*$L$9+G41)</f>
        <v>0</v>
      </c>
      <c r="M41" s="629">
        <f t="shared" si="8"/>
        <v>0</v>
      </c>
      <c r="N41" s="629">
        <f>SUM(J41*$K$9+J41)+((J41*$K$9+J41)*$L$9)</f>
        <v>0</v>
      </c>
      <c r="O41" s="629">
        <f>SUM(J41*$L$9+J41)</f>
        <v>0</v>
      </c>
      <c r="P41" s="629">
        <f>SUM(K41*$L$9+K41)</f>
        <v>0</v>
      </c>
      <c r="Q41" s="629">
        <f>(M41+N41+P41)/3</f>
        <v>0</v>
      </c>
    </row>
    <row r="42" spans="2:17" s="605" customFormat="1" ht="12.75" customHeight="1">
      <c r="B42" s="606" t="s">
        <v>93</v>
      </c>
      <c r="C42" s="607">
        <v>0</v>
      </c>
      <c r="D42" s="583">
        <v>32</v>
      </c>
      <c r="E42" s="627">
        <v>0</v>
      </c>
      <c r="F42" s="627">
        <v>0</v>
      </c>
      <c r="G42" s="627">
        <v>0</v>
      </c>
      <c r="H42" s="627">
        <v>0</v>
      </c>
      <c r="I42" s="627">
        <v>0</v>
      </c>
      <c r="J42" s="628">
        <f>SUM(((E42*$J$9+E42)+((E42*$J$9+E42)*$K$9))*$L$9)+(E42*$J$9+E42)+((E42*$J$9+E42)*$K$9)</f>
        <v>0</v>
      </c>
      <c r="K42" s="629">
        <f>SUM(F42*$K$9+F42)+((F42*$K$9+F42)*$L$9)</f>
        <v>0</v>
      </c>
      <c r="L42" s="629">
        <f>SUM(G42*$L$9+G42)</f>
        <v>0</v>
      </c>
      <c r="M42" s="629">
        <f t="shared" si="8"/>
        <v>0</v>
      </c>
      <c r="N42" s="629">
        <f>SUM(J42*$K$9+J42)+((J42*$K$9+J42)*$L$9)</f>
        <v>0</v>
      </c>
      <c r="O42" s="629">
        <f>SUM(J42*$L$9+J42)</f>
        <v>0</v>
      </c>
      <c r="P42" s="629">
        <f>SUM(K42*$L$9+K42)</f>
        <v>0</v>
      </c>
      <c r="Q42" s="629">
        <f>(M42+N42+P42)/3</f>
        <v>0</v>
      </c>
    </row>
    <row r="43" spans="2:17" s="605" customFormat="1" ht="12.75" customHeight="1">
      <c r="B43" s="606" t="s">
        <v>94</v>
      </c>
      <c r="C43" s="607" t="s">
        <v>746</v>
      </c>
      <c r="D43" s="583">
        <v>33</v>
      </c>
      <c r="E43" s="608">
        <f>SUM(E44:E45)</f>
        <v>28833.56</v>
      </c>
      <c r="F43" s="608">
        <f>SUM(F44:F45)</f>
        <v>23673.55</v>
      </c>
      <c r="G43" s="608">
        <f aca="true" t="shared" si="15" ref="G43:M43">SUM(G44:G45)</f>
        <v>20908.89</v>
      </c>
      <c r="H43" s="608">
        <f t="shared" si="15"/>
        <v>20000</v>
      </c>
      <c r="I43" s="608">
        <f t="shared" si="15"/>
        <v>32165.16</v>
      </c>
      <c r="J43" s="608">
        <f t="shared" si="15"/>
        <v>34392.79802293552</v>
      </c>
      <c r="K43" s="608">
        <f t="shared" si="15"/>
        <v>26679.814106200498</v>
      </c>
      <c r="L43" s="608">
        <f t="shared" si="15"/>
        <v>22249.149849</v>
      </c>
      <c r="M43" s="608">
        <f t="shared" si="15"/>
        <v>27773.920659378677</v>
      </c>
      <c r="N43" s="608">
        <f>SUM(N44:N45)</f>
        <v>29487.571564062342</v>
      </c>
      <c r="O43" s="770">
        <f>SUM(O44:O45)</f>
        <v>29870.90999439515</v>
      </c>
      <c r="P43" s="608">
        <f>SUM(P44:P45)</f>
        <v>30438.45728428866</v>
      </c>
      <c r="Q43" s="608">
        <f>SUM(Q44:Q45)</f>
        <v>31168.980259111588</v>
      </c>
    </row>
    <row r="44" spans="2:17" ht="12.75" customHeight="1">
      <c r="B44" s="609" t="s">
        <v>186</v>
      </c>
      <c r="C44" s="611">
        <v>0</v>
      </c>
      <c r="D44" s="583">
        <v>34</v>
      </c>
      <c r="E44" s="612">
        <v>0</v>
      </c>
      <c r="F44" s="612">
        <v>0</v>
      </c>
      <c r="G44" s="612">
        <v>0</v>
      </c>
      <c r="H44" s="612">
        <v>0</v>
      </c>
      <c r="I44" s="612">
        <v>0</v>
      </c>
      <c r="J44" s="613">
        <f>SUM(((E44*$J$9+E44)+((E44*$J$9+E44)*$K$9))*$L$9)+(E44*$J$9+E44)+((E44*$J$9+E44)*$K$9)</f>
        <v>0</v>
      </c>
      <c r="K44" s="614">
        <f>SUM(F44*$K$9+F44)+((F44*$K$9+F44)*$L$9)</f>
        <v>0</v>
      </c>
      <c r="L44" s="614">
        <f>SUM(G44*$L$9+G44)</f>
        <v>0</v>
      </c>
      <c r="M44" s="615">
        <f t="shared" si="8"/>
        <v>0</v>
      </c>
      <c r="N44" s="614">
        <f>SUM(M44*$N$9+'VLR 2012 a 2018 ATUALIZ média'!M44)</f>
        <v>0</v>
      </c>
      <c r="O44" s="614">
        <f>N44*$O$9+'VLR 2012 a 2018 ATUALIZ média'!N44</f>
        <v>0</v>
      </c>
      <c r="P44" s="614">
        <f>O44*$P$9+'VLR 2012 a 2018 ATUALIZ média'!O44</f>
        <v>0</v>
      </c>
      <c r="Q44" s="614">
        <f>P44*$Q$9+'VLR 2012 a 2018 ATUALIZ média'!P44</f>
        <v>0</v>
      </c>
    </row>
    <row r="45" spans="2:17" ht="12.75" customHeight="1">
      <c r="B45" s="609" t="s">
        <v>187</v>
      </c>
      <c r="C45" s="611">
        <v>0</v>
      </c>
      <c r="D45" s="583">
        <v>35</v>
      </c>
      <c r="E45" s="612">
        <v>28833.56</v>
      </c>
      <c r="F45" s="612">
        <v>23673.55</v>
      </c>
      <c r="G45" s="612">
        <v>20908.89</v>
      </c>
      <c r="H45" s="612">
        <v>20000</v>
      </c>
      <c r="I45" s="612">
        <v>32165.16</v>
      </c>
      <c r="J45" s="613">
        <f>SUM(((E45*$J$9+E45)+((E45*$J$9+E45)*$K$9))*$L$9)+(E45*$J$9+E45)+((E45*$J$9+E45)*$K$9)</f>
        <v>34392.79802293552</v>
      </c>
      <c r="K45" s="614">
        <f>SUM(F45*$K$9+F45)+((F45*$K$9+F45)*$L$9)</f>
        <v>26679.814106200498</v>
      </c>
      <c r="L45" s="614">
        <f>SUM(G45*$L$9+G45)</f>
        <v>22249.149849</v>
      </c>
      <c r="M45" s="615">
        <f t="shared" si="8"/>
        <v>27773.920659378677</v>
      </c>
      <c r="N45" s="614">
        <f>SUM(M45*$N$9+'VLR 2012 a 2018 ATUALIZ média'!M45)</f>
        <v>29487.571564062342</v>
      </c>
      <c r="O45" s="614">
        <f>N45*$O$9+'VLR 2012 a 2018 ATUALIZ média'!N45</f>
        <v>29870.90999439515</v>
      </c>
      <c r="P45" s="614">
        <f>O45*$P$9+'VLR 2012 a 2018 ATUALIZ média'!O45</f>
        <v>30438.45728428866</v>
      </c>
      <c r="Q45" s="614">
        <f>P45*$Q$9+'VLR 2012 a 2018 ATUALIZ média'!P45</f>
        <v>31168.980259111588</v>
      </c>
    </row>
    <row r="46" spans="2:17" s="605" customFormat="1" ht="12.75" customHeight="1">
      <c r="B46" s="606" t="s">
        <v>478</v>
      </c>
      <c r="C46" s="607" t="s">
        <v>330</v>
      </c>
      <c r="D46" s="583">
        <v>36</v>
      </c>
      <c r="E46" s="608">
        <f aca="true" t="shared" si="16" ref="E46:Q46">E47+E72+E79</f>
        <v>8931388.75</v>
      </c>
      <c r="F46" s="608">
        <f t="shared" si="16"/>
        <v>9743416.85</v>
      </c>
      <c r="G46" s="608">
        <f t="shared" si="16"/>
        <v>10858936.319999998</v>
      </c>
      <c r="H46" s="608">
        <f t="shared" si="16"/>
        <v>11549064</v>
      </c>
      <c r="I46" s="608">
        <f t="shared" si="16"/>
        <v>5862997.749999999</v>
      </c>
      <c r="J46" s="608">
        <f t="shared" si="16"/>
        <v>10653400.042973138</v>
      </c>
      <c r="K46" s="608">
        <f t="shared" si="16"/>
        <v>10980716.889407022</v>
      </c>
      <c r="L46" s="608">
        <f t="shared" si="16"/>
        <v>11554994.138112</v>
      </c>
      <c r="M46" s="608">
        <f t="shared" si="16"/>
        <v>11063037.02349739</v>
      </c>
      <c r="N46" s="608">
        <f t="shared" si="16"/>
        <v>11745626.407847175</v>
      </c>
      <c r="O46" s="770">
        <f t="shared" si="16"/>
        <v>12617996.04735711</v>
      </c>
      <c r="P46" s="608">
        <f t="shared" si="16"/>
        <v>12857737.972256893</v>
      </c>
      <c r="Q46" s="608">
        <f t="shared" si="16"/>
        <v>13147680.929326076</v>
      </c>
    </row>
    <row r="47" spans="2:17" ht="12.75" customHeight="1">
      <c r="B47" s="609" t="s">
        <v>194</v>
      </c>
      <c r="C47" s="610">
        <v>0</v>
      </c>
      <c r="D47" s="583">
        <v>37</v>
      </c>
      <c r="E47" s="603">
        <f>E48+E59+E67+E70</f>
        <v>8769298.64</v>
      </c>
      <c r="F47" s="603">
        <f>F48+F59+F67+F70</f>
        <v>9666286.25</v>
      </c>
      <c r="G47" s="603">
        <f>G48+G59+G67+G70</f>
        <v>10755327.79</v>
      </c>
      <c r="H47" s="603">
        <f aca="true" t="shared" si="17" ref="H47:Q47">H48+H59+H67+H70</f>
        <v>11445300</v>
      </c>
      <c r="I47" s="603">
        <f>I48+I59+I67+I70</f>
        <v>5828986.569999999</v>
      </c>
      <c r="J47" s="603">
        <f t="shared" si="17"/>
        <v>10460058.242142946</v>
      </c>
      <c r="K47" s="603">
        <f t="shared" si="17"/>
        <v>10893791.604863737</v>
      </c>
      <c r="L47" s="603">
        <f t="shared" si="17"/>
        <v>11444744.301339</v>
      </c>
      <c r="M47" s="603">
        <f t="shared" si="17"/>
        <v>10932864.716115229</v>
      </c>
      <c r="N47" s="603">
        <f t="shared" si="17"/>
        <v>11607422.469099537</v>
      </c>
      <c r="O47" s="769">
        <f t="shared" si="17"/>
        <v>12507880.670329086</v>
      </c>
      <c r="P47" s="603">
        <f t="shared" si="17"/>
        <v>12745530.403065337</v>
      </c>
      <c r="Q47" s="603">
        <f t="shared" si="17"/>
        <v>13032780.378473923</v>
      </c>
    </row>
    <row r="48" spans="2:17" ht="15.75" customHeight="1">
      <c r="B48" s="630" t="s">
        <v>195</v>
      </c>
      <c r="C48" s="631" t="s">
        <v>732</v>
      </c>
      <c r="D48" s="583">
        <v>38</v>
      </c>
      <c r="E48" s="632">
        <f aca="true" t="shared" si="18" ref="E48:Q48">SUM(E49:E58)</f>
        <v>5774057.100000001</v>
      </c>
      <c r="F48" s="632">
        <f t="shared" si="18"/>
        <v>6381838.409999999</v>
      </c>
      <c r="G48" s="632">
        <f t="shared" si="18"/>
        <v>6989849.9799999995</v>
      </c>
      <c r="H48" s="632">
        <f t="shared" si="18"/>
        <v>7183000</v>
      </c>
      <c r="I48" s="632">
        <f>SUM(I49:I58)</f>
        <v>3720391.46</v>
      </c>
      <c r="J48" s="632">
        <f t="shared" si="18"/>
        <v>6887320.872386094</v>
      </c>
      <c r="K48" s="632">
        <f t="shared" si="18"/>
        <v>7192257.284378986</v>
      </c>
      <c r="L48" s="632">
        <f t="shared" si="18"/>
        <v>7437899.363717999</v>
      </c>
      <c r="M48" s="632">
        <f t="shared" si="18"/>
        <v>7172492.506827694</v>
      </c>
      <c r="N48" s="632">
        <f t="shared" si="18"/>
        <v>7615035.294498962</v>
      </c>
      <c r="O48" s="771">
        <f t="shared" si="18"/>
        <v>7775414.802590187</v>
      </c>
      <c r="P48" s="632">
        <f t="shared" si="18"/>
        <v>7923147.683839399</v>
      </c>
      <c r="Q48" s="632">
        <f t="shared" si="18"/>
        <v>8113303.228251545</v>
      </c>
    </row>
    <row r="49" spans="2:17" s="633" customFormat="1" ht="12.75" customHeight="1">
      <c r="B49" s="609" t="s">
        <v>105</v>
      </c>
      <c r="C49" s="611">
        <v>0</v>
      </c>
      <c r="D49" s="583">
        <v>39</v>
      </c>
      <c r="E49" s="617">
        <v>5232450.46</v>
      </c>
      <c r="F49" s="617">
        <v>5620053.47</v>
      </c>
      <c r="G49" s="617">
        <v>6044433.05</v>
      </c>
      <c r="H49" s="612">
        <v>6551000</v>
      </c>
      <c r="I49" s="612">
        <v>3498079.42</v>
      </c>
      <c r="J49" s="613">
        <f aca="true" t="shared" si="19" ref="J49:J58">SUM(((E49*$J$9+E49)+((E49*$J$9+E49)*$K$9))*$L$9)+(E49*$J$9+E49)+((E49*$J$9+E49)*$K$9)</f>
        <v>6241290.074336851</v>
      </c>
      <c r="K49" s="614">
        <f aca="true" t="shared" si="20" ref="K49:K58">SUM(F49*$K$9+F49)+((F49*$K$9+F49)*$L$9)</f>
        <v>6333734.562264935</v>
      </c>
      <c r="L49" s="614">
        <f aca="true" t="shared" si="21" ref="L49:L58">SUM(G49*$L$9+G49)</f>
        <v>6431881.208505</v>
      </c>
      <c r="M49" s="615">
        <f t="shared" si="8"/>
        <v>6335635.281702262</v>
      </c>
      <c r="N49" s="614">
        <f>SUM(M49*$N$9+'VLR 2012 a 2018 ATUALIZ média'!M49)</f>
        <v>6726543.978583292</v>
      </c>
      <c r="O49" s="614">
        <f>N49*$O$9+'VLR 2012 a 2018 ATUALIZ média'!N49</f>
        <v>6813989.050304875</v>
      </c>
      <c r="P49" s="614">
        <f>O49*$P$9+'VLR 2012 a 2018 ATUALIZ média'!O49</f>
        <v>6943454.842260667</v>
      </c>
      <c r="Q49" s="614">
        <f>P49*$Q$9+'VLR 2012 a 2018 ATUALIZ média'!P49</f>
        <v>7110097.758474923</v>
      </c>
    </row>
    <row r="50" spans="2:17" s="633" customFormat="1" ht="12.75" customHeight="1">
      <c r="B50" s="609" t="s">
        <v>19</v>
      </c>
      <c r="C50" s="611">
        <v>0</v>
      </c>
      <c r="D50" s="583">
        <v>40</v>
      </c>
      <c r="E50" s="617">
        <v>232180.38</v>
      </c>
      <c r="F50" s="617">
        <v>249419.24</v>
      </c>
      <c r="G50" s="617">
        <v>268102.99</v>
      </c>
      <c r="H50" s="612">
        <v>66000</v>
      </c>
      <c r="I50" s="612">
        <v>0</v>
      </c>
      <c r="J50" s="613">
        <f t="shared" si="19"/>
        <v>276945.7851971251</v>
      </c>
      <c r="K50" s="614">
        <f t="shared" si="20"/>
        <v>281092.5677690844</v>
      </c>
      <c r="L50" s="614">
        <f t="shared" si="21"/>
        <v>285288.391659</v>
      </c>
      <c r="M50" s="615">
        <f t="shared" si="8"/>
        <v>281108.91487506987</v>
      </c>
      <c r="N50" s="614">
        <f>SUM(M50*$N$9+'VLR 2012 a 2018 ATUALIZ média'!M50)</f>
        <v>298453.33492286166</v>
      </c>
      <c r="O50" s="614">
        <f>N50*$O$9+'VLR 2012 a 2018 ATUALIZ média'!N50</f>
        <v>302333.22827685886</v>
      </c>
      <c r="P50" s="614">
        <f>O50*$P$9+'VLR 2012 a 2018 ATUALIZ média'!O50</f>
        <v>308077.5596141192</v>
      </c>
      <c r="Q50" s="614">
        <f>P50*$Q$9+'VLR 2012 a 2018 ATUALIZ média'!P50</f>
        <v>315471.42104485806</v>
      </c>
    </row>
    <row r="51" spans="2:17" s="633" customFormat="1" ht="12.75" customHeight="1">
      <c r="B51" s="609" t="s">
        <v>104</v>
      </c>
      <c r="C51" s="611">
        <v>0</v>
      </c>
      <c r="D51" s="583">
        <v>41</v>
      </c>
      <c r="E51" s="617">
        <v>1790.11</v>
      </c>
      <c r="F51" s="617">
        <v>1750.01</v>
      </c>
      <c r="G51" s="617">
        <v>1606.06</v>
      </c>
      <c r="H51" s="612">
        <v>1500</v>
      </c>
      <c r="I51" s="612">
        <v>219.89</v>
      </c>
      <c r="J51" s="613">
        <f t="shared" si="19"/>
        <v>2135.2511333611633</v>
      </c>
      <c r="K51" s="614">
        <f t="shared" si="20"/>
        <v>1972.2408123830999</v>
      </c>
      <c r="L51" s="614">
        <f t="shared" si="21"/>
        <v>1709.008446</v>
      </c>
      <c r="M51" s="615">
        <f t="shared" si="8"/>
        <v>1938.8334639147542</v>
      </c>
      <c r="N51" s="614">
        <f>SUM(M51*$N$9+'VLR 2012 a 2018 ATUALIZ média'!M51)</f>
        <v>2058.4594886382947</v>
      </c>
      <c r="O51" s="614">
        <f>N51*$O$9+'VLR 2012 a 2018 ATUALIZ média'!N51</f>
        <v>2085.2194619905927</v>
      </c>
      <c r="P51" s="614">
        <f>O51*$P$9+'VLR 2012 a 2018 ATUALIZ média'!O51</f>
        <v>2124.838631768414</v>
      </c>
      <c r="Q51" s="614">
        <f>P51*$Q$9+'VLR 2012 a 2018 ATUALIZ média'!P51</f>
        <v>2175.834758930856</v>
      </c>
    </row>
    <row r="52" spans="2:17" s="633" customFormat="1" ht="12.75" customHeight="1">
      <c r="B52" s="609" t="s">
        <v>206</v>
      </c>
      <c r="C52" s="611">
        <v>0</v>
      </c>
      <c r="D52" s="583">
        <v>42</v>
      </c>
      <c r="E52" s="617">
        <v>40405.72</v>
      </c>
      <c r="F52" s="617">
        <v>42721.35</v>
      </c>
      <c r="G52" s="617">
        <v>64702.7</v>
      </c>
      <c r="H52" s="612">
        <v>71000</v>
      </c>
      <c r="I52" s="612">
        <v>42692.03</v>
      </c>
      <c r="J52" s="613">
        <f t="shared" si="19"/>
        <v>48196.12170440578</v>
      </c>
      <c r="K52" s="614">
        <f t="shared" si="20"/>
        <v>48146.4620374185</v>
      </c>
      <c r="L52" s="614">
        <f t="shared" si="21"/>
        <v>68850.14306999999</v>
      </c>
      <c r="M52" s="615">
        <f t="shared" si="8"/>
        <v>55064.24227060809</v>
      </c>
      <c r="N52" s="614">
        <f>SUM(M52*$N$9+'VLR 2012 a 2018 ATUALIZ média'!M52)</f>
        <v>58461.70601870461</v>
      </c>
      <c r="O52" s="786">
        <v>66000</v>
      </c>
      <c r="P52" s="784">
        <f>O52*$P$9+'VLR 2012 a 2018 ATUALIZ média'!O52</f>
        <v>67254</v>
      </c>
      <c r="Q52" s="784">
        <f>P52*$Q$9+'VLR 2012 a 2018 ATUALIZ média'!P52</f>
        <v>68868.096</v>
      </c>
    </row>
    <row r="53" spans="2:17" s="633" customFormat="1" ht="12.75" customHeight="1">
      <c r="B53" s="609" t="s">
        <v>1109</v>
      </c>
      <c r="C53" s="611">
        <v>0</v>
      </c>
      <c r="D53" s="583">
        <v>43</v>
      </c>
      <c r="E53" s="617">
        <v>88833.8</v>
      </c>
      <c r="F53" s="617">
        <v>86105.57</v>
      </c>
      <c r="G53" s="617">
        <v>109552.3</v>
      </c>
      <c r="H53" s="612">
        <v>97000</v>
      </c>
      <c r="I53" s="612">
        <v>49511.26</v>
      </c>
      <c r="J53" s="613">
        <f t="shared" si="19"/>
        <v>105961.34993423808</v>
      </c>
      <c r="K53" s="614">
        <f t="shared" si="20"/>
        <v>97039.97081588671</v>
      </c>
      <c r="L53" s="614">
        <f t="shared" si="21"/>
        <v>116574.60243</v>
      </c>
      <c r="M53" s="615">
        <f t="shared" si="8"/>
        <v>106525.30772670828</v>
      </c>
      <c r="N53" s="614">
        <f>SUM(M53*$N$9+'VLR 2012 a 2018 ATUALIZ média'!M53)</f>
        <v>113097.91921344619</v>
      </c>
      <c r="O53" s="786">
        <v>96700</v>
      </c>
      <c r="P53" s="784">
        <f>O53*$P$9+'VLR 2012 a 2018 ATUALIZ média'!O53</f>
        <v>98537.3</v>
      </c>
      <c r="Q53" s="784">
        <f>P53*$Q$9+'VLR 2012 a 2018 ATUALIZ média'!P53</f>
        <v>100902.1952</v>
      </c>
    </row>
    <row r="54" spans="2:17" s="633" customFormat="1" ht="12.75" customHeight="1">
      <c r="B54" s="609" t="s">
        <v>188</v>
      </c>
      <c r="C54" s="611">
        <v>0</v>
      </c>
      <c r="D54" s="583">
        <v>44</v>
      </c>
      <c r="E54" s="617">
        <v>7494.76</v>
      </c>
      <c r="F54" s="617">
        <v>99348.75</v>
      </c>
      <c r="G54" s="617">
        <v>168299.92</v>
      </c>
      <c r="H54" s="612">
        <v>197000</v>
      </c>
      <c r="I54" s="612">
        <v>56168.33</v>
      </c>
      <c r="J54" s="613">
        <f t="shared" si="19"/>
        <v>8939.782909580927</v>
      </c>
      <c r="K54" s="614">
        <f t="shared" si="20"/>
        <v>111964.87986311251</v>
      </c>
      <c r="L54" s="614">
        <f t="shared" si="21"/>
        <v>179087.94487200002</v>
      </c>
      <c r="M54" s="615">
        <f t="shared" si="8"/>
        <v>99997.53588156449</v>
      </c>
      <c r="N54" s="614">
        <f>SUM(M54*$N$9+'VLR 2012 a 2018 ATUALIZ média'!M54)</f>
        <v>106167.38384545702</v>
      </c>
      <c r="O54" s="786">
        <v>189147</v>
      </c>
      <c r="P54" s="784">
        <f>O54*$P$9+'VLR 2012 a 2018 ATUALIZ média'!O54</f>
        <v>192740.793</v>
      </c>
      <c r="Q54" s="784">
        <f>P54*$Q$9+'VLR 2012 a 2018 ATUALIZ média'!P54</f>
        <v>197366.572032</v>
      </c>
    </row>
    <row r="55" spans="2:17" s="633" customFormat="1" ht="12.75" customHeight="1">
      <c r="B55" s="609" t="s">
        <v>189</v>
      </c>
      <c r="C55" s="611">
        <v>0</v>
      </c>
      <c r="D55" s="583">
        <v>45</v>
      </c>
      <c r="E55" s="617">
        <v>55869.79</v>
      </c>
      <c r="F55" s="617">
        <v>58057.2</v>
      </c>
      <c r="G55" s="617">
        <v>46602</v>
      </c>
      <c r="H55" s="612">
        <v>73500</v>
      </c>
      <c r="I55" s="612">
        <v>28335.22</v>
      </c>
      <c r="J55" s="613">
        <f t="shared" si="19"/>
        <v>66641.73286454476</v>
      </c>
      <c r="K55" s="614">
        <f t="shared" si="20"/>
        <v>65429.785711332</v>
      </c>
      <c r="L55" s="614">
        <f t="shared" si="21"/>
        <v>49589.1882</v>
      </c>
      <c r="M55" s="615">
        <f t="shared" si="8"/>
        <v>60553.56892529225</v>
      </c>
      <c r="N55" s="614">
        <f>SUM(M55*$N$9+'VLR 2012 a 2018 ATUALIZ média'!M55)</f>
        <v>64289.72412798279</v>
      </c>
      <c r="O55" s="786">
        <v>56000</v>
      </c>
      <c r="P55" s="784">
        <f>O55*$P$9+'VLR 2012 a 2018 ATUALIZ média'!O55</f>
        <v>57064</v>
      </c>
      <c r="Q55" s="784">
        <f>P55*$Q$9+'VLR 2012 a 2018 ATUALIZ média'!P55</f>
        <v>58433.536</v>
      </c>
    </row>
    <row r="56" spans="2:17" s="633" customFormat="1" ht="12.75" customHeight="1">
      <c r="B56" s="609" t="s">
        <v>190</v>
      </c>
      <c r="C56" s="611">
        <v>0</v>
      </c>
      <c r="D56" s="583">
        <v>46</v>
      </c>
      <c r="E56" s="617">
        <v>20974.44</v>
      </c>
      <c r="F56" s="617">
        <v>20061.22</v>
      </c>
      <c r="G56" s="617">
        <v>20369.16</v>
      </c>
      <c r="H56" s="612">
        <v>22000</v>
      </c>
      <c r="I56" s="612">
        <v>11121.32</v>
      </c>
      <c r="J56" s="613">
        <f t="shared" si="19"/>
        <v>25018.40489222211</v>
      </c>
      <c r="K56" s="614">
        <f t="shared" si="20"/>
        <v>22608.7604243382</v>
      </c>
      <c r="L56" s="614">
        <f t="shared" si="21"/>
        <v>21674.823156</v>
      </c>
      <c r="M56" s="615">
        <f t="shared" si="8"/>
        <v>23100.66282418677</v>
      </c>
      <c r="N56" s="614">
        <f>SUM(M56*$N$9+'VLR 2012 a 2018 ATUALIZ média'!M56)</f>
        <v>24525.97372043909</v>
      </c>
      <c r="O56" s="614">
        <f>N56*$O$9+'VLR 2012 a 2018 ATUALIZ média'!N56</f>
        <v>24844.8113788048</v>
      </c>
      <c r="P56" s="614">
        <f>O56*$P$9+'VLR 2012 a 2018 ATUALIZ média'!O56</f>
        <v>25316.86279500209</v>
      </c>
      <c r="Q56" s="614">
        <f>P56*$Q$9+'VLR 2012 a 2018 ATUALIZ média'!P56</f>
        <v>25924.467502082138</v>
      </c>
    </row>
    <row r="57" spans="2:17" s="633" customFormat="1" ht="12.75" customHeight="1">
      <c r="B57" s="609" t="s">
        <v>587</v>
      </c>
      <c r="C57" s="611">
        <v>0</v>
      </c>
      <c r="D57" s="583">
        <v>47</v>
      </c>
      <c r="E57" s="617">
        <v>80409.48</v>
      </c>
      <c r="F57" s="617">
        <v>83424.34</v>
      </c>
      <c r="G57" s="617">
        <v>94245.89</v>
      </c>
      <c r="H57" s="612">
        <v>90000</v>
      </c>
      <c r="I57" s="612">
        <v>34263.99</v>
      </c>
      <c r="J57" s="613">
        <f t="shared" si="19"/>
        <v>95912.78374121244</v>
      </c>
      <c r="K57" s="614">
        <f t="shared" si="20"/>
        <v>94018.2559494654</v>
      </c>
      <c r="L57" s="614">
        <f t="shared" si="21"/>
        <v>100287.051549</v>
      </c>
      <c r="M57" s="615">
        <f t="shared" si="8"/>
        <v>96739.36374655929</v>
      </c>
      <c r="N57" s="614">
        <f>SUM(M57*$N$9+'VLR 2012 a 2018 ATUALIZ média'!M57)</f>
        <v>102708.182489722</v>
      </c>
      <c r="O57" s="614">
        <f>N57*$O$9+'VLR 2012 a 2018 ATUALIZ média'!N57</f>
        <v>104043.3888620884</v>
      </c>
      <c r="P57" s="614">
        <f>O57*$P$9+'VLR 2012 a 2018 ATUALIZ média'!O57</f>
        <v>106020.21325046808</v>
      </c>
      <c r="Q57" s="614">
        <f>P57*$Q$9+'VLR 2012 a 2018 ATUALIZ média'!P57</f>
        <v>108564.69836847931</v>
      </c>
    </row>
    <row r="58" spans="2:17" s="633" customFormat="1" ht="12.75" customHeight="1">
      <c r="B58" s="609" t="s">
        <v>192</v>
      </c>
      <c r="C58" s="611">
        <v>0</v>
      </c>
      <c r="D58" s="583">
        <v>48</v>
      </c>
      <c r="E58" s="617">
        <v>13648.16</v>
      </c>
      <c r="F58" s="617">
        <v>120897.26</v>
      </c>
      <c r="G58" s="617">
        <v>171935.91</v>
      </c>
      <c r="H58" s="612">
        <v>14000</v>
      </c>
      <c r="I58" s="612">
        <v>0</v>
      </c>
      <c r="J58" s="613">
        <f t="shared" si="19"/>
        <v>16279.58567255336</v>
      </c>
      <c r="K58" s="614">
        <f t="shared" si="20"/>
        <v>136249.7987310306</v>
      </c>
      <c r="L58" s="614">
        <f t="shared" si="21"/>
        <v>182957.001831</v>
      </c>
      <c r="M58" s="615">
        <f t="shared" si="8"/>
        <v>111828.79541152799</v>
      </c>
      <c r="N58" s="614">
        <f>SUM(M58*$N$9+'VLR 2012 a 2018 ATUALIZ média'!M58)</f>
        <v>118728.63208841927</v>
      </c>
      <c r="O58" s="614">
        <f>N58*$O$9+'VLR 2012 a 2018 ATUALIZ média'!N58</f>
        <v>120272.10430556872</v>
      </c>
      <c r="P58" s="614">
        <f>O58*$P$9+'VLR 2012 a 2018 ATUALIZ média'!O58</f>
        <v>122557.27428737453</v>
      </c>
      <c r="Q58" s="614">
        <f>P58*$Q$9+'VLR 2012 a 2018 ATUALIZ média'!P58</f>
        <v>125498.64887027151</v>
      </c>
    </row>
    <row r="59" spans="2:17" ht="12.75" customHeight="1">
      <c r="B59" s="630" t="s">
        <v>193</v>
      </c>
      <c r="C59" s="634" t="s">
        <v>730</v>
      </c>
      <c r="D59" s="583">
        <v>49</v>
      </c>
      <c r="E59" s="632">
        <f aca="true" t="shared" si="22" ref="E59:Q59">SUM(E60:E66)</f>
        <v>2533635.26</v>
      </c>
      <c r="F59" s="632">
        <f t="shared" si="22"/>
        <v>2725907.05</v>
      </c>
      <c r="G59" s="632">
        <f t="shared" si="22"/>
        <v>2970745.1799999992</v>
      </c>
      <c r="H59" s="632">
        <f t="shared" si="22"/>
        <v>3505300</v>
      </c>
      <c r="I59" s="632">
        <f t="shared" si="22"/>
        <v>1684200.0699999998</v>
      </c>
      <c r="J59" s="632">
        <f t="shared" si="22"/>
        <v>3022131.355301521</v>
      </c>
      <c r="K59" s="632">
        <f t="shared" si="22"/>
        <v>3072065.3794965856</v>
      </c>
      <c r="L59" s="632">
        <f t="shared" si="22"/>
        <v>3161169.946038</v>
      </c>
      <c r="M59" s="632">
        <f t="shared" si="22"/>
        <v>3085122.2269453686</v>
      </c>
      <c r="N59" s="632">
        <f>SUM(N60:N66)</f>
        <v>3275474.2683478976</v>
      </c>
      <c r="O59" s="771">
        <f t="shared" si="22"/>
        <v>3976465.8677388993</v>
      </c>
      <c r="P59" s="632">
        <f t="shared" si="22"/>
        <v>4052018.7192259375</v>
      </c>
      <c r="Q59" s="632">
        <f t="shared" si="22"/>
        <v>4130624.4142223783</v>
      </c>
    </row>
    <row r="60" spans="2:17" ht="12.75" customHeight="1">
      <c r="B60" s="609" t="s">
        <v>106</v>
      </c>
      <c r="C60" s="611">
        <v>0</v>
      </c>
      <c r="D60" s="583">
        <v>50</v>
      </c>
      <c r="E60" s="612">
        <v>2265850.94</v>
      </c>
      <c r="F60" s="612">
        <v>2466359.75</v>
      </c>
      <c r="G60" s="612">
        <v>2683730.78</v>
      </c>
      <c r="H60" s="612">
        <v>3184000</v>
      </c>
      <c r="I60" s="612">
        <v>1485892.19</v>
      </c>
      <c r="J60" s="613">
        <f aca="true" t="shared" si="23" ref="J60:J66">SUM(((E60*$J$9+E60)+((E60*$J$9+E60)*$K$9))*$L$9)+(E60*$J$9+E60)+((E60*$J$9+E60)*$K$9)</f>
        <v>2702717.03284293</v>
      </c>
      <c r="K60" s="614">
        <f aca="true" t="shared" si="24" ref="K60:K66">SUM(F60*$K$9+F60)+((F60*$K$9+F60)*$L$9)</f>
        <v>2779558.6065045227</v>
      </c>
      <c r="L60" s="614">
        <f aca="true" t="shared" si="25" ref="L60:L66">SUM(G60*$L$9+G60)</f>
        <v>2855757.922998</v>
      </c>
      <c r="M60" s="615">
        <f t="shared" si="8"/>
        <v>2779344.5207818174</v>
      </c>
      <c r="N60" s="614">
        <f>SUM(M60*$N$9+'VLR 2012 a 2018 ATUALIZ média'!M60)</f>
        <v>2950830.0777140553</v>
      </c>
      <c r="O60" s="787">
        <f>N60*'TAB. P - PARÂMETROS'!E17+N60</f>
        <v>3659029.2963654287</v>
      </c>
      <c r="P60" s="614">
        <f>(O60*$P$9+'VLR 2012 a 2018 ATUALIZ média'!O60)+(O60*$P$9+'VLR 2012 a 2018 ATUALIZ média'!O60)*'TAB. P - PARÂMETROS'!F17</f>
        <v>3728550.8529963717</v>
      </c>
      <c r="Q60" s="614">
        <f>(P60*$P$9+'VLR 2012 a 2018 ATUALIZ média'!P60)+(P60*$P$9+'VLR 2012 a 2018 ATUALIZ média'!P60)*'TAB. P - PARÂMETROS'!G17</f>
        <v>3799393.3192033027</v>
      </c>
    </row>
    <row r="61" spans="2:17" ht="12.75" customHeight="1">
      <c r="B61" s="609" t="s">
        <v>380</v>
      </c>
      <c r="C61" s="611">
        <v>0</v>
      </c>
      <c r="D61" s="583">
        <v>51</v>
      </c>
      <c r="E61" s="612">
        <v>181396.16</v>
      </c>
      <c r="F61" s="612">
        <v>182981.35</v>
      </c>
      <c r="G61" s="612">
        <v>213880.99</v>
      </c>
      <c r="H61" s="612">
        <v>210000</v>
      </c>
      <c r="I61" s="612">
        <v>155671.54</v>
      </c>
      <c r="J61" s="613">
        <f t="shared" si="23"/>
        <v>216370.14274394477</v>
      </c>
      <c r="K61" s="614">
        <f t="shared" si="24"/>
        <v>206217.84239801852</v>
      </c>
      <c r="L61" s="614">
        <f t="shared" si="25"/>
        <v>227590.761459</v>
      </c>
      <c r="M61" s="615">
        <f t="shared" si="8"/>
        <v>216726.24886698776</v>
      </c>
      <c r="N61" s="614">
        <f>SUM(M61*$N$9+'VLR 2012 a 2018 ATUALIZ média'!M61)</f>
        <v>230098.2584220809</v>
      </c>
      <c r="O61" s="614">
        <f>N61*$O$9+'VLR 2012 a 2018 ATUALIZ média'!N61</f>
        <v>233089.53578156795</v>
      </c>
      <c r="P61" s="614">
        <f>O61*$P$9+'VLR 2012 a 2018 ATUALIZ média'!O61</f>
        <v>237518.23696141774</v>
      </c>
      <c r="Q61" s="614">
        <f>P61*$Q$9+'VLR 2012 a 2018 ATUALIZ média'!P61</f>
        <v>243218.67464849178</v>
      </c>
    </row>
    <row r="62" spans="2:17" s="633" customFormat="1" ht="12.75" customHeight="1">
      <c r="B62" s="609" t="s">
        <v>107</v>
      </c>
      <c r="C62" s="611">
        <v>0</v>
      </c>
      <c r="D62" s="583">
        <v>52</v>
      </c>
      <c r="E62" s="612">
        <v>38165.94</v>
      </c>
      <c r="F62" s="612">
        <v>35743.67</v>
      </c>
      <c r="G62" s="612">
        <v>48254.43</v>
      </c>
      <c r="H62" s="612">
        <v>53000</v>
      </c>
      <c r="I62" s="612">
        <v>30381.13</v>
      </c>
      <c r="J62" s="613">
        <f t="shared" si="23"/>
        <v>45524.50220421883</v>
      </c>
      <c r="K62" s="614">
        <f t="shared" si="24"/>
        <v>40282.698246497705</v>
      </c>
      <c r="L62" s="614">
        <f t="shared" si="25"/>
        <v>51347.538963</v>
      </c>
      <c r="M62" s="615">
        <f t="shared" si="8"/>
        <v>45718.24647123885</v>
      </c>
      <c r="N62" s="614">
        <f>SUM(M62*$N$9+'VLR 2012 a 2018 ATUALIZ média'!M62)</f>
        <v>48539.062278514284</v>
      </c>
      <c r="O62" s="614">
        <f>N62*$O$9+'VLR 2012 a 2018 ATUALIZ média'!N62</f>
        <v>49170.07008813497</v>
      </c>
      <c r="P62" s="614">
        <f>O62*$P$9+'VLR 2012 a 2018 ATUALIZ média'!O62</f>
        <v>50104.30141980953</v>
      </c>
      <c r="Q62" s="614">
        <f>P62*$Q$9+'VLR 2012 a 2018 ATUALIZ média'!P62</f>
        <v>51306.80465388496</v>
      </c>
    </row>
    <row r="63" spans="2:17" ht="12.75" customHeight="1">
      <c r="B63" s="609" t="s">
        <v>196</v>
      </c>
      <c r="C63" s="611">
        <v>0</v>
      </c>
      <c r="D63" s="583">
        <v>53</v>
      </c>
      <c r="E63" s="612">
        <v>37919.73</v>
      </c>
      <c r="F63" s="612">
        <v>40238.07</v>
      </c>
      <c r="G63" s="612">
        <v>23475.59</v>
      </c>
      <c r="H63" s="612">
        <v>34000</v>
      </c>
      <c r="I63" s="612">
        <v>6082.48</v>
      </c>
      <c r="J63" s="613">
        <f t="shared" si="23"/>
        <v>45230.82182617231</v>
      </c>
      <c r="K63" s="614">
        <f t="shared" si="24"/>
        <v>45347.8345069617</v>
      </c>
      <c r="L63" s="614">
        <f t="shared" si="25"/>
        <v>24980.375319</v>
      </c>
      <c r="M63" s="615">
        <f t="shared" si="8"/>
        <v>38519.677217378005</v>
      </c>
      <c r="N63" s="614">
        <f>SUM(M63*$N$9+'VLR 2012 a 2018 ATUALIZ média'!M63)</f>
        <v>40896.34130169023</v>
      </c>
      <c r="O63" s="786">
        <v>30000</v>
      </c>
      <c r="P63" s="784">
        <f>O63*$P$9+'VLR 2012 a 2018 ATUALIZ média'!O63</f>
        <v>30570</v>
      </c>
      <c r="Q63" s="784">
        <f>P63*$Q$9+'VLR 2012 a 2018 ATUALIZ média'!P63</f>
        <v>31303.68</v>
      </c>
    </row>
    <row r="64" spans="2:17" ht="12.75" customHeight="1">
      <c r="B64" s="609" t="s">
        <v>1110</v>
      </c>
      <c r="C64" s="611">
        <v>0</v>
      </c>
      <c r="D64" s="583">
        <v>54</v>
      </c>
      <c r="E64" s="612">
        <v>0</v>
      </c>
      <c r="F64" s="612">
        <v>0</v>
      </c>
      <c r="G64" s="612">
        <v>0</v>
      </c>
      <c r="H64" s="612">
        <v>0</v>
      </c>
      <c r="I64" s="612">
        <v>6000</v>
      </c>
      <c r="J64" s="613">
        <f t="shared" si="23"/>
        <v>0</v>
      </c>
      <c r="K64" s="614">
        <f t="shared" si="24"/>
        <v>0</v>
      </c>
      <c r="L64" s="614">
        <f t="shared" si="25"/>
        <v>0</v>
      </c>
      <c r="M64" s="615">
        <f t="shared" si="8"/>
        <v>0</v>
      </c>
      <c r="N64" s="614">
        <f>SUM(M64*$N$9+'VLR 2012 a 2018 ATUALIZ média'!M64)</f>
        <v>0</v>
      </c>
      <c r="O64" s="614">
        <f>N64*$O$9+'VLR 2012 a 2018 ATUALIZ média'!N64</f>
        <v>0</v>
      </c>
      <c r="P64" s="614">
        <f>O64*$P$9+'VLR 2012 a 2018 ATUALIZ média'!O64</f>
        <v>0</v>
      </c>
      <c r="Q64" s="614">
        <f>P64*$Q$9+'VLR 2012 a 2018 ATUALIZ média'!P64</f>
        <v>0</v>
      </c>
    </row>
    <row r="65" spans="2:17" ht="12.75" customHeight="1">
      <c r="B65" s="609" t="s">
        <v>207</v>
      </c>
      <c r="C65" s="611">
        <v>0</v>
      </c>
      <c r="D65" s="583">
        <v>55</v>
      </c>
      <c r="E65" s="612">
        <v>10178.76</v>
      </c>
      <c r="F65" s="612">
        <v>514.33</v>
      </c>
      <c r="G65" s="612">
        <v>1041.01</v>
      </c>
      <c r="H65" s="612">
        <v>0</v>
      </c>
      <c r="I65" s="612">
        <v>69.16</v>
      </c>
      <c r="J65" s="613">
        <f t="shared" si="23"/>
        <v>12141.269992464862</v>
      </c>
      <c r="K65" s="614">
        <f t="shared" si="24"/>
        <v>579.6438974823</v>
      </c>
      <c r="L65" s="614">
        <f t="shared" si="25"/>
        <v>1107.738741</v>
      </c>
      <c r="M65" s="615">
        <f t="shared" si="8"/>
        <v>4609.550876982387</v>
      </c>
      <c r="N65" s="614">
        <f>SUM(M65*$N$9+'VLR 2012 a 2018 ATUALIZ média'!M65)</f>
        <v>4893.960166092201</v>
      </c>
      <c r="O65" s="614">
        <f>N65*$O$9+'VLR 2012 a 2018 ATUALIZ média'!N65</f>
        <v>4957.581648251399</v>
      </c>
      <c r="P65" s="614">
        <f>O65*$P$9+'VLR 2012 a 2018 ATUALIZ média'!O65</f>
        <v>5051.775699568176</v>
      </c>
      <c r="Q65" s="614">
        <f>P65*$Q$9+'VLR 2012 a 2018 ATUALIZ média'!P65</f>
        <v>5173.018316357812</v>
      </c>
    </row>
    <row r="66" spans="2:17" ht="12.75" customHeight="1">
      <c r="B66" s="609" t="s">
        <v>1113</v>
      </c>
      <c r="C66" s="611">
        <v>0</v>
      </c>
      <c r="D66" s="583">
        <v>56</v>
      </c>
      <c r="E66" s="612">
        <v>123.73</v>
      </c>
      <c r="F66" s="612">
        <v>69.88</v>
      </c>
      <c r="G66" s="612">
        <v>362.38</v>
      </c>
      <c r="H66" s="612">
        <v>24300</v>
      </c>
      <c r="I66" s="612">
        <v>103.57</v>
      </c>
      <c r="J66" s="613">
        <f t="shared" si="23"/>
        <v>147.58569179032395</v>
      </c>
      <c r="K66" s="614">
        <f t="shared" si="24"/>
        <v>78.7539431028</v>
      </c>
      <c r="L66" s="614">
        <f t="shared" si="25"/>
        <v>385.608558</v>
      </c>
      <c r="M66" s="615">
        <f t="shared" si="8"/>
        <v>203.98273096437467</v>
      </c>
      <c r="N66" s="614">
        <f>SUM(M66*$N$9+'VLR 2012 a 2018 ATUALIZ média'!M66)</f>
        <v>216.5684654648766</v>
      </c>
      <c r="O66" s="614">
        <f>N66*$O$9+'VLR 2012 a 2018 ATUALIZ média'!N66</f>
        <v>219.38385551592</v>
      </c>
      <c r="P66" s="614">
        <f>O66*$P$9+'VLR 2012 a 2018 ATUALIZ média'!O66</f>
        <v>223.55214877072248</v>
      </c>
      <c r="Q66" s="614">
        <f>P66*$Q$9+'VLR 2012 a 2018 ATUALIZ média'!P66</f>
        <v>228.91740034121983</v>
      </c>
    </row>
    <row r="67" spans="2:17" ht="12.75" customHeight="1">
      <c r="B67" s="630" t="s">
        <v>208</v>
      </c>
      <c r="C67" s="634" t="s">
        <v>731</v>
      </c>
      <c r="D67" s="583">
        <v>57</v>
      </c>
      <c r="E67" s="632">
        <f>+E68+E69</f>
        <v>0</v>
      </c>
      <c r="F67" s="632">
        <f>+F68+F69</f>
        <v>0</v>
      </c>
      <c r="G67" s="632">
        <f aca="true" t="shared" si="26" ref="G67:M67">+G68+G69</f>
        <v>0</v>
      </c>
      <c r="H67" s="632">
        <f t="shared" si="26"/>
        <v>0</v>
      </c>
      <c r="I67" s="632">
        <f t="shared" si="26"/>
        <v>0</v>
      </c>
      <c r="J67" s="632">
        <f t="shared" si="26"/>
        <v>0</v>
      </c>
      <c r="K67" s="632">
        <f t="shared" si="26"/>
        <v>0</v>
      </c>
      <c r="L67" s="632">
        <f t="shared" si="26"/>
        <v>0</v>
      </c>
      <c r="M67" s="632">
        <f t="shared" si="26"/>
        <v>0</v>
      </c>
      <c r="N67" s="632">
        <f>+N68+N69</f>
        <v>0</v>
      </c>
      <c r="O67" s="771">
        <f>+O68+O69</f>
        <v>0</v>
      </c>
      <c r="P67" s="632">
        <f>+P68+P69</f>
        <v>0</v>
      </c>
      <c r="Q67" s="632">
        <f>+Q68+Q69</f>
        <v>0</v>
      </c>
    </row>
    <row r="68" spans="2:17" ht="12.75" customHeight="1">
      <c r="B68" s="609" t="s">
        <v>196</v>
      </c>
      <c r="C68" s="611">
        <v>0</v>
      </c>
      <c r="D68" s="583">
        <v>58</v>
      </c>
      <c r="E68" s="612">
        <v>0</v>
      </c>
      <c r="F68" s="612">
        <v>0</v>
      </c>
      <c r="G68" s="612">
        <v>0</v>
      </c>
      <c r="H68" s="612">
        <v>0</v>
      </c>
      <c r="I68" s="612">
        <v>0</v>
      </c>
      <c r="J68" s="613">
        <f>SUM(((E68*$J$9+E68)+((E68*$J$9+E68)*$K$9))*$L$9)+(E68*$J$9+E68)+((E68*$J$9+E68)*$K$9)</f>
        <v>0</v>
      </c>
      <c r="K68" s="614">
        <f>SUM(F68*$K$9+F68)+((F68*$K$9+F68)*$L$9)</f>
        <v>0</v>
      </c>
      <c r="L68" s="614">
        <f>SUM(G68*$L$9+G68)</f>
        <v>0</v>
      </c>
      <c r="M68" s="615">
        <f t="shared" si="8"/>
        <v>0</v>
      </c>
      <c r="N68" s="614">
        <f>SUM(M68*$N$9+'VLR 2012 a 2018 ATUALIZ média'!M68)</f>
        <v>0</v>
      </c>
      <c r="O68" s="614">
        <f>N68*$O$9+'VLR 2012 a 2018 ATUALIZ média'!N68</f>
        <v>0</v>
      </c>
      <c r="P68" s="614">
        <f>O68*$P$9+'VLR 2012 a 2018 ATUALIZ média'!O68</f>
        <v>0</v>
      </c>
      <c r="Q68" s="614">
        <f>P68*$Q$9+'VLR 2012 a 2018 ATUALIZ média'!P68</f>
        <v>0</v>
      </c>
    </row>
    <row r="69" spans="2:17" ht="12.75" customHeight="1">
      <c r="B69" s="609" t="s">
        <v>209</v>
      </c>
      <c r="C69" s="611">
        <v>0</v>
      </c>
      <c r="D69" s="583">
        <v>59</v>
      </c>
      <c r="E69" s="612">
        <v>0</v>
      </c>
      <c r="F69" s="612">
        <v>0</v>
      </c>
      <c r="G69" s="612">
        <v>0</v>
      </c>
      <c r="H69" s="612">
        <v>0</v>
      </c>
      <c r="I69" s="612">
        <v>0</v>
      </c>
      <c r="J69" s="613">
        <f>SUM(((E69*$J$9+E69)+((E69*$J$9+E69)*$K$9))*$L$9)+(E69*$J$9+E69)+((E69*$J$9+E69)*$K$9)</f>
        <v>0</v>
      </c>
      <c r="K69" s="614">
        <f>SUM(F69*$K$9+F69)+((F69*$K$9+F69)*$L$9)</f>
        <v>0</v>
      </c>
      <c r="L69" s="614">
        <f>SUM(G69*$L$9+G69)</f>
        <v>0</v>
      </c>
      <c r="M69" s="615">
        <f t="shared" si="8"/>
        <v>0</v>
      </c>
      <c r="N69" s="614">
        <f>SUM(M69*$N$9+'VLR 2012 a 2018 ATUALIZ média'!M69)</f>
        <v>0</v>
      </c>
      <c r="O69" s="614">
        <f>N69*$O$9+'VLR 2012 a 2018 ATUALIZ média'!N69</f>
        <v>0</v>
      </c>
      <c r="P69" s="614">
        <f>O69*$P$9+'VLR 2012 a 2018 ATUALIZ média'!O69</f>
        <v>0</v>
      </c>
      <c r="Q69" s="614">
        <f>P69*$Q$9+'VLR 2012 a 2018 ATUALIZ média'!P69</f>
        <v>0</v>
      </c>
    </row>
    <row r="70" spans="2:254" s="637" customFormat="1" ht="12.75" customHeight="1">
      <c r="B70" s="630" t="s">
        <v>191</v>
      </c>
      <c r="C70" s="635" t="s">
        <v>322</v>
      </c>
      <c r="D70" s="583">
        <v>60</v>
      </c>
      <c r="E70" s="632">
        <f>SUM(E71:E71)</f>
        <v>461606.28</v>
      </c>
      <c r="F70" s="632">
        <f aca="true" t="shared" si="27" ref="F70:Q70">SUM(F71:F71)</f>
        <v>558540.79</v>
      </c>
      <c r="G70" s="632">
        <f t="shared" si="27"/>
        <v>794732.63</v>
      </c>
      <c r="H70" s="632">
        <f t="shared" si="27"/>
        <v>757000</v>
      </c>
      <c r="I70" s="632">
        <f t="shared" si="27"/>
        <v>424395.04</v>
      </c>
      <c r="J70" s="632">
        <f t="shared" si="27"/>
        <v>550606.0144553299</v>
      </c>
      <c r="K70" s="632">
        <f t="shared" si="27"/>
        <v>629468.940988165</v>
      </c>
      <c r="L70" s="632">
        <f t="shared" si="27"/>
        <v>845674.991583</v>
      </c>
      <c r="M70" s="632">
        <f t="shared" si="27"/>
        <v>675249.982342165</v>
      </c>
      <c r="N70" s="632">
        <f t="shared" si="27"/>
        <v>716912.9062526765</v>
      </c>
      <c r="O70" s="771">
        <f t="shared" si="27"/>
        <v>756000</v>
      </c>
      <c r="P70" s="632">
        <f t="shared" si="27"/>
        <v>770364</v>
      </c>
      <c r="Q70" s="632">
        <f t="shared" si="27"/>
        <v>788852.736</v>
      </c>
      <c r="R70" s="636"/>
      <c r="S70" s="636"/>
      <c r="T70" s="636"/>
      <c r="U70" s="636"/>
      <c r="V70" s="636"/>
      <c r="W70" s="636"/>
      <c r="X70" s="636"/>
      <c r="Y70" s="636"/>
      <c r="Z70" s="636"/>
      <c r="AA70" s="636"/>
      <c r="AB70" s="636"/>
      <c r="AC70" s="636"/>
      <c r="AD70" s="636"/>
      <c r="AE70" s="636"/>
      <c r="AF70" s="636"/>
      <c r="AG70" s="636"/>
      <c r="AH70" s="636"/>
      <c r="AI70" s="636"/>
      <c r="AJ70" s="636"/>
      <c r="AK70" s="636"/>
      <c r="AL70" s="636"/>
      <c r="AM70" s="636"/>
      <c r="AN70" s="636"/>
      <c r="AO70" s="636"/>
      <c r="AP70" s="636"/>
      <c r="AQ70" s="636"/>
      <c r="AR70" s="636"/>
      <c r="AS70" s="636"/>
      <c r="AT70" s="636"/>
      <c r="AU70" s="636"/>
      <c r="AV70" s="636"/>
      <c r="AW70" s="636"/>
      <c r="AX70" s="636"/>
      <c r="AY70" s="636"/>
      <c r="AZ70" s="636"/>
      <c r="BA70" s="636"/>
      <c r="BB70" s="636"/>
      <c r="BC70" s="636"/>
      <c r="BD70" s="636"/>
      <c r="BE70" s="636"/>
      <c r="BF70" s="636"/>
      <c r="BG70" s="636"/>
      <c r="BH70" s="636"/>
      <c r="BI70" s="636"/>
      <c r="BJ70" s="636"/>
      <c r="BK70" s="636"/>
      <c r="BL70" s="636"/>
      <c r="BM70" s="636"/>
      <c r="BN70" s="636"/>
      <c r="BO70" s="636"/>
      <c r="BP70" s="636"/>
      <c r="BQ70" s="636"/>
      <c r="BR70" s="636"/>
      <c r="BS70" s="636"/>
      <c r="BT70" s="636"/>
      <c r="BU70" s="636"/>
      <c r="BV70" s="636"/>
      <c r="BW70" s="636"/>
      <c r="BX70" s="636"/>
      <c r="BY70" s="636"/>
      <c r="BZ70" s="636"/>
      <c r="CA70" s="636"/>
      <c r="CB70" s="636"/>
      <c r="CC70" s="636"/>
      <c r="CD70" s="636"/>
      <c r="CE70" s="636"/>
      <c r="CF70" s="636"/>
      <c r="CG70" s="636"/>
      <c r="CH70" s="636"/>
      <c r="CI70" s="636"/>
      <c r="CJ70" s="636"/>
      <c r="CK70" s="636"/>
      <c r="CL70" s="636"/>
      <c r="CM70" s="636"/>
      <c r="CN70" s="636"/>
      <c r="CO70" s="636"/>
      <c r="CP70" s="636"/>
      <c r="CQ70" s="636"/>
      <c r="CR70" s="636"/>
      <c r="CS70" s="636"/>
      <c r="CT70" s="636"/>
      <c r="CU70" s="636"/>
      <c r="CV70" s="636"/>
      <c r="CW70" s="636"/>
      <c r="CX70" s="636"/>
      <c r="CY70" s="636"/>
      <c r="CZ70" s="636"/>
      <c r="DA70" s="636"/>
      <c r="DB70" s="636"/>
      <c r="DC70" s="636"/>
      <c r="DD70" s="636"/>
      <c r="DE70" s="636"/>
      <c r="DF70" s="636"/>
      <c r="DG70" s="636"/>
      <c r="DH70" s="636"/>
      <c r="DI70" s="636"/>
      <c r="DJ70" s="636"/>
      <c r="DK70" s="636"/>
      <c r="DL70" s="636"/>
      <c r="DM70" s="636"/>
      <c r="DN70" s="636"/>
      <c r="DO70" s="636"/>
      <c r="DP70" s="636"/>
      <c r="DQ70" s="636"/>
      <c r="DR70" s="636"/>
      <c r="DS70" s="636"/>
      <c r="DT70" s="636"/>
      <c r="DU70" s="636"/>
      <c r="DV70" s="636"/>
      <c r="DW70" s="636"/>
      <c r="DX70" s="636"/>
      <c r="DY70" s="636"/>
      <c r="DZ70" s="636"/>
      <c r="EA70" s="636"/>
      <c r="EB70" s="636"/>
      <c r="EC70" s="636"/>
      <c r="ED70" s="636"/>
      <c r="EE70" s="636"/>
      <c r="EF70" s="636"/>
      <c r="EG70" s="636"/>
      <c r="EH70" s="636"/>
      <c r="EI70" s="636"/>
      <c r="EJ70" s="636"/>
      <c r="EK70" s="636"/>
      <c r="EL70" s="636"/>
      <c r="EM70" s="636"/>
      <c r="EN70" s="636"/>
      <c r="EO70" s="636"/>
      <c r="EP70" s="636"/>
      <c r="EQ70" s="636"/>
      <c r="ER70" s="636"/>
      <c r="ES70" s="636"/>
      <c r="ET70" s="636"/>
      <c r="EU70" s="636"/>
      <c r="EV70" s="636"/>
      <c r="EW70" s="636"/>
      <c r="EX70" s="636"/>
      <c r="EY70" s="636"/>
      <c r="EZ70" s="636"/>
      <c r="FA70" s="636"/>
      <c r="FB70" s="636"/>
      <c r="FC70" s="636"/>
      <c r="FD70" s="636"/>
      <c r="FE70" s="636"/>
      <c r="FF70" s="636"/>
      <c r="FG70" s="636"/>
      <c r="FH70" s="636"/>
      <c r="FI70" s="636"/>
      <c r="FJ70" s="636"/>
      <c r="FK70" s="636"/>
      <c r="FL70" s="636"/>
      <c r="FM70" s="636"/>
      <c r="FN70" s="636"/>
      <c r="FO70" s="636"/>
      <c r="FP70" s="636"/>
      <c r="FQ70" s="636"/>
      <c r="FR70" s="636"/>
      <c r="FS70" s="636"/>
      <c r="FT70" s="636"/>
      <c r="FU70" s="636"/>
      <c r="FV70" s="636"/>
      <c r="FW70" s="636"/>
      <c r="FX70" s="636"/>
      <c r="FY70" s="636"/>
      <c r="FZ70" s="636"/>
      <c r="GA70" s="636"/>
      <c r="GB70" s="636"/>
      <c r="GC70" s="636"/>
      <c r="GD70" s="636"/>
      <c r="GE70" s="636"/>
      <c r="GF70" s="636"/>
      <c r="GG70" s="636"/>
      <c r="GH70" s="636"/>
      <c r="GI70" s="636"/>
      <c r="GJ70" s="636"/>
      <c r="GK70" s="636"/>
      <c r="GL70" s="636"/>
      <c r="GM70" s="636"/>
      <c r="GN70" s="636"/>
      <c r="GO70" s="636"/>
      <c r="GP70" s="636"/>
      <c r="GQ70" s="636"/>
      <c r="GR70" s="636"/>
      <c r="GS70" s="636"/>
      <c r="GT70" s="636"/>
      <c r="GU70" s="636"/>
      <c r="GV70" s="636"/>
      <c r="GW70" s="636"/>
      <c r="GX70" s="636"/>
      <c r="GY70" s="636"/>
      <c r="GZ70" s="636"/>
      <c r="HA70" s="636"/>
      <c r="HB70" s="636"/>
      <c r="HC70" s="636"/>
      <c r="HD70" s="636"/>
      <c r="HE70" s="636"/>
      <c r="HF70" s="636"/>
      <c r="HG70" s="636"/>
      <c r="HH70" s="636"/>
      <c r="HI70" s="636"/>
      <c r="HJ70" s="636"/>
      <c r="HK70" s="636"/>
      <c r="HL70" s="636"/>
      <c r="HM70" s="636"/>
      <c r="HN70" s="636"/>
      <c r="HO70" s="636"/>
      <c r="HP70" s="636"/>
      <c r="HQ70" s="636"/>
      <c r="HR70" s="636"/>
      <c r="HS70" s="636"/>
      <c r="HT70" s="636"/>
      <c r="HU70" s="636"/>
      <c r="HV70" s="636"/>
      <c r="HW70" s="636"/>
      <c r="HX70" s="636"/>
      <c r="HY70" s="636"/>
      <c r="HZ70" s="636"/>
      <c r="IA70" s="636"/>
      <c r="IB70" s="636"/>
      <c r="IC70" s="636"/>
      <c r="ID70" s="636"/>
      <c r="IE70" s="636"/>
      <c r="IF70" s="636"/>
      <c r="IG70" s="636"/>
      <c r="IH70" s="636"/>
      <c r="II70" s="636"/>
      <c r="IJ70" s="636"/>
      <c r="IK70" s="636"/>
      <c r="IL70" s="636"/>
      <c r="IM70" s="636"/>
      <c r="IN70" s="636"/>
      <c r="IO70" s="636"/>
      <c r="IP70" s="636"/>
      <c r="IQ70" s="636"/>
      <c r="IR70" s="636"/>
      <c r="IS70" s="636"/>
      <c r="IT70" s="636"/>
    </row>
    <row r="71" spans="2:17" ht="12.75" customHeight="1">
      <c r="B71" s="609" t="s">
        <v>178</v>
      </c>
      <c r="C71" s="611">
        <v>0</v>
      </c>
      <c r="D71" s="583">
        <v>61</v>
      </c>
      <c r="E71" s="612">
        <v>461606.28</v>
      </c>
      <c r="F71" s="612">
        <v>558540.79</v>
      </c>
      <c r="G71" s="612">
        <v>794732.63</v>
      </c>
      <c r="H71" s="612">
        <v>757000</v>
      </c>
      <c r="I71" s="612">
        <v>424395.04</v>
      </c>
      <c r="J71" s="613">
        <f>SUM(((E71*$J$9+E71)+((E71*$J$9+E71)*$K$9))*$L$9)+(E71*$J$9+E71)+((E71*$J$9+E71)*$K$9)</f>
        <v>550606.0144553299</v>
      </c>
      <c r="K71" s="614">
        <f>SUM(F71*$K$9+F71)+((F71*$K$9+F71)*$L$9)</f>
        <v>629468.940988165</v>
      </c>
      <c r="L71" s="614">
        <f>SUM(G71*$L$9+G71)</f>
        <v>845674.991583</v>
      </c>
      <c r="M71" s="615">
        <f>(J71+K71+L71)/3</f>
        <v>675249.982342165</v>
      </c>
      <c r="N71" s="614">
        <f>SUM(M71*$N$9+'VLR 2012 a 2018 ATUALIZ média'!M71)</f>
        <v>716912.9062526765</v>
      </c>
      <c r="O71" s="784">
        <v>756000</v>
      </c>
      <c r="P71" s="784">
        <f>O71*$P$9+'VLR 2012 a 2018 ATUALIZ média'!O71</f>
        <v>770364</v>
      </c>
      <c r="Q71" s="784">
        <f>P71*$Q$9+'VLR 2012 a 2018 ATUALIZ média'!P71</f>
        <v>788852.736</v>
      </c>
    </row>
    <row r="72" spans="2:17" ht="12.75" customHeight="1">
      <c r="B72" s="630" t="s">
        <v>211</v>
      </c>
      <c r="C72" s="634" t="s">
        <v>323</v>
      </c>
      <c r="D72" s="583">
        <v>62</v>
      </c>
      <c r="E72" s="632">
        <f>SUM(E73:E78)</f>
        <v>162090.11</v>
      </c>
      <c r="F72" s="632">
        <f>SUM(F73:F78)</f>
        <v>76330.6</v>
      </c>
      <c r="G72" s="632">
        <f aca="true" t="shared" si="28" ref="G72:M72">SUM(G73:G78)</f>
        <v>100111.6</v>
      </c>
      <c r="H72" s="632">
        <f t="shared" si="28"/>
        <v>100264</v>
      </c>
      <c r="I72" s="632">
        <f>SUM(I73:I78)</f>
        <v>30647.1</v>
      </c>
      <c r="J72" s="632">
        <f t="shared" si="28"/>
        <v>193341.80083019234</v>
      </c>
      <c r="K72" s="632">
        <f t="shared" si="28"/>
        <v>86023.69389528601</v>
      </c>
      <c r="L72" s="632">
        <f t="shared" si="28"/>
        <v>106528.75356000001</v>
      </c>
      <c r="M72" s="632">
        <f t="shared" si="28"/>
        <v>128631.41609515945</v>
      </c>
      <c r="N72" s="632">
        <f>SUM(N73:N78)</f>
        <v>136567.9744682308</v>
      </c>
      <c r="O72" s="771">
        <f>SUM(O73:O78)</f>
        <v>108458.14521298291</v>
      </c>
      <c r="P72" s="632">
        <f>SUM(P73:P78)</f>
        <v>110518.84997202958</v>
      </c>
      <c r="Q72" s="632">
        <f>SUM(Q73:Q78)</f>
        <v>113171.30237135828</v>
      </c>
    </row>
    <row r="73" spans="2:17" ht="12.75" customHeight="1">
      <c r="B73" s="609" t="s">
        <v>223</v>
      </c>
      <c r="C73" s="611">
        <v>0</v>
      </c>
      <c r="D73" s="583">
        <v>63</v>
      </c>
      <c r="E73" s="612">
        <v>0</v>
      </c>
      <c r="F73" s="612">
        <v>0</v>
      </c>
      <c r="G73" s="612">
        <v>0</v>
      </c>
      <c r="H73" s="612">
        <v>0</v>
      </c>
      <c r="I73" s="612">
        <v>0</v>
      </c>
      <c r="J73" s="613">
        <f aca="true" t="shared" si="29" ref="J73:J79">SUM(((E73*$J$9+E73)+((E73*$J$9+E73)*$K$9))*$L$9)+(E73*$J$9+E73)+((E73*$J$9+E73)*$K$9)</f>
        <v>0</v>
      </c>
      <c r="K73" s="614">
        <f aca="true" t="shared" si="30" ref="K73:K79">SUM(F73*$K$9+F73)+((F73*$K$9+F73)*$L$9)</f>
        <v>0</v>
      </c>
      <c r="L73" s="614">
        <f aca="true" t="shared" si="31" ref="L73:L79">SUM(G73*$L$9+G73)</f>
        <v>0</v>
      </c>
      <c r="M73" s="615">
        <f t="shared" si="8"/>
        <v>0</v>
      </c>
      <c r="N73" s="614">
        <f>SUM(M73*$N$9+'VLR 2012 a 2018 ATUALIZ média'!M73)</f>
        <v>0</v>
      </c>
      <c r="O73" s="614">
        <f>N73*$O$9+'VLR 2012 a 2018 ATUALIZ média'!N73</f>
        <v>0</v>
      </c>
      <c r="P73" s="614">
        <f>O73*$P$9+'VLR 2012 a 2018 ATUALIZ média'!O73</f>
        <v>0</v>
      </c>
      <c r="Q73" s="614">
        <f>P73*$Q$9+'VLR 2012 a 2018 ATUALIZ média'!P73</f>
        <v>0</v>
      </c>
    </row>
    <row r="74" spans="2:17" ht="12.75" customHeight="1">
      <c r="B74" s="609" t="s">
        <v>213</v>
      </c>
      <c r="C74" s="611">
        <v>0</v>
      </c>
      <c r="D74" s="583">
        <v>64</v>
      </c>
      <c r="E74" s="612">
        <v>76371.5</v>
      </c>
      <c r="F74" s="612">
        <v>76330.6</v>
      </c>
      <c r="G74" s="612">
        <v>96347.6</v>
      </c>
      <c r="H74" s="612">
        <v>96500</v>
      </c>
      <c r="I74" s="612">
        <v>30647.1</v>
      </c>
      <c r="J74" s="613">
        <f t="shared" si="29"/>
        <v>91096.26331984744</v>
      </c>
      <c r="K74" s="614">
        <f t="shared" si="30"/>
        <v>86023.69389528601</v>
      </c>
      <c r="L74" s="614">
        <f t="shared" si="31"/>
        <v>102523.48116000001</v>
      </c>
      <c r="M74" s="615">
        <f t="shared" si="8"/>
        <v>93214.47945837781</v>
      </c>
      <c r="N74" s="614">
        <f>SUM(M74*$N$9+'VLR 2012 a 2018 ATUALIZ média'!M74)</f>
        <v>98965.81284095973</v>
      </c>
      <c r="O74" s="786">
        <v>103000</v>
      </c>
      <c r="P74" s="784">
        <f>O74*$P$9+'VLR 2012 a 2018 ATUALIZ média'!O74</f>
        <v>104957</v>
      </c>
      <c r="Q74" s="784">
        <f>P74*$Q$9+'VLR 2012 a 2018 ATUALIZ média'!P74</f>
        <v>107475.968</v>
      </c>
    </row>
    <row r="75" spans="2:17" ht="12.75" customHeight="1">
      <c r="B75" s="609" t="s">
        <v>212</v>
      </c>
      <c r="C75" s="611">
        <v>0</v>
      </c>
      <c r="D75" s="583">
        <v>65</v>
      </c>
      <c r="E75" s="612">
        <v>76312.5</v>
      </c>
      <c r="F75" s="612">
        <v>0</v>
      </c>
      <c r="G75" s="612">
        <v>0</v>
      </c>
      <c r="H75" s="612">
        <v>0</v>
      </c>
      <c r="I75" s="612">
        <v>0</v>
      </c>
      <c r="J75" s="613">
        <f t="shared" si="29"/>
        <v>91025.88785863649</v>
      </c>
      <c r="K75" s="614">
        <f t="shared" si="30"/>
        <v>0</v>
      </c>
      <c r="L75" s="614">
        <f t="shared" si="31"/>
        <v>0</v>
      </c>
      <c r="M75" s="615">
        <f t="shared" si="8"/>
        <v>30341.962619545495</v>
      </c>
      <c r="N75" s="614">
        <f>SUM(M75*$N$9+'VLR 2012 a 2018 ATUALIZ média'!M75)</f>
        <v>32214.061713171453</v>
      </c>
      <c r="O75" s="614">
        <v>0</v>
      </c>
      <c r="P75" s="614">
        <v>0</v>
      </c>
      <c r="Q75" s="614">
        <v>0</v>
      </c>
    </row>
    <row r="76" spans="2:17" ht="12.75" customHeight="1">
      <c r="B76" s="609" t="s">
        <v>214</v>
      </c>
      <c r="C76" s="611">
        <v>0</v>
      </c>
      <c r="D76" s="583">
        <v>66</v>
      </c>
      <c r="E76" s="612">
        <v>0</v>
      </c>
      <c r="F76" s="612">
        <v>0</v>
      </c>
      <c r="G76" s="612">
        <v>0</v>
      </c>
      <c r="H76" s="612">
        <v>0</v>
      </c>
      <c r="I76" s="612">
        <v>0</v>
      </c>
      <c r="J76" s="613">
        <f t="shared" si="29"/>
        <v>0</v>
      </c>
      <c r="K76" s="614">
        <f t="shared" si="30"/>
        <v>0</v>
      </c>
      <c r="L76" s="614">
        <f t="shared" si="31"/>
        <v>0</v>
      </c>
      <c r="M76" s="615">
        <f t="shared" si="8"/>
        <v>0</v>
      </c>
      <c r="N76" s="614">
        <f>SUM(M76*$N$9+'VLR 2012 a 2018 ATUALIZ média'!M76)</f>
        <v>0</v>
      </c>
      <c r="O76" s="614">
        <f>N76*$O$9+'VLR 2012 a 2018 ATUALIZ média'!N76</f>
        <v>0</v>
      </c>
      <c r="P76" s="614">
        <f>O76*$P$9+'VLR 2012 a 2018 ATUALIZ média'!O76</f>
        <v>0</v>
      </c>
      <c r="Q76" s="614">
        <f>P76*$Q$9+'VLR 2012 a 2018 ATUALIZ média'!P76</f>
        <v>0</v>
      </c>
    </row>
    <row r="77" spans="2:17" ht="12.75" customHeight="1">
      <c r="B77" s="609" t="s">
        <v>215</v>
      </c>
      <c r="C77" s="611">
        <v>0</v>
      </c>
      <c r="D77" s="583">
        <v>67</v>
      </c>
      <c r="E77" s="612">
        <v>0</v>
      </c>
      <c r="F77" s="612">
        <v>0</v>
      </c>
      <c r="G77" s="612">
        <v>0</v>
      </c>
      <c r="H77" s="612">
        <v>0</v>
      </c>
      <c r="I77" s="612">
        <v>0</v>
      </c>
      <c r="J77" s="613">
        <f t="shared" si="29"/>
        <v>0</v>
      </c>
      <c r="K77" s="614">
        <f t="shared" si="30"/>
        <v>0</v>
      </c>
      <c r="L77" s="614">
        <f t="shared" si="31"/>
        <v>0</v>
      </c>
      <c r="M77" s="615">
        <f t="shared" si="8"/>
        <v>0</v>
      </c>
      <c r="N77" s="614">
        <f>SUM(M77*$N$9+'VLR 2012 a 2018 ATUALIZ média'!M77)</f>
        <v>0</v>
      </c>
      <c r="O77" s="614">
        <f>N77*$O$9+'VLR 2012 a 2018 ATUALIZ média'!N77</f>
        <v>0</v>
      </c>
      <c r="P77" s="614">
        <f>O77*$P$9+'VLR 2012 a 2018 ATUALIZ média'!O77</f>
        <v>0</v>
      </c>
      <c r="Q77" s="614">
        <f>P77*$Q$9+'VLR 2012 a 2018 ATUALIZ média'!P77</f>
        <v>0</v>
      </c>
    </row>
    <row r="78" spans="2:17" ht="12.75" customHeight="1">
      <c r="B78" s="609" t="s">
        <v>216</v>
      </c>
      <c r="C78" s="611">
        <v>0</v>
      </c>
      <c r="D78" s="583">
        <v>68</v>
      </c>
      <c r="E78" s="612">
        <v>9406.11</v>
      </c>
      <c r="F78" s="612">
        <v>0</v>
      </c>
      <c r="G78" s="612">
        <v>3764</v>
      </c>
      <c r="H78" s="612">
        <v>3764</v>
      </c>
      <c r="I78" s="612">
        <v>0</v>
      </c>
      <c r="J78" s="613">
        <f t="shared" si="29"/>
        <v>11219.649651708427</v>
      </c>
      <c r="K78" s="614">
        <f t="shared" si="30"/>
        <v>0</v>
      </c>
      <c r="L78" s="614">
        <f t="shared" si="31"/>
        <v>4005.2724</v>
      </c>
      <c r="M78" s="615">
        <f t="shared" si="8"/>
        <v>5074.974017236143</v>
      </c>
      <c r="N78" s="614">
        <f>SUM(M78*$N$9+'VLR 2012 a 2018 ATUALIZ média'!M78)</f>
        <v>5388.099914099613</v>
      </c>
      <c r="O78" s="614">
        <f>N78*$O$9+'VLR 2012 a 2018 ATUALIZ média'!N78</f>
        <v>5458.145212982908</v>
      </c>
      <c r="P78" s="614">
        <f>O78*$P$9+'VLR 2012 a 2018 ATUALIZ média'!O78</f>
        <v>5561.849972029583</v>
      </c>
      <c r="Q78" s="614">
        <f>P78*$Q$9+'VLR 2012 a 2018 ATUALIZ média'!P78</f>
        <v>5695.3343713582935</v>
      </c>
    </row>
    <row r="79" spans="2:17" ht="12.75" customHeight="1">
      <c r="B79" s="809" t="s">
        <v>1120</v>
      </c>
      <c r="C79" s="810" t="s">
        <v>1119</v>
      </c>
      <c r="D79" s="583">
        <v>69</v>
      </c>
      <c r="E79" s="811">
        <v>0</v>
      </c>
      <c r="F79" s="811">
        <v>800</v>
      </c>
      <c r="G79" s="811">
        <v>3496.93</v>
      </c>
      <c r="H79" s="811">
        <v>3500</v>
      </c>
      <c r="I79" s="811">
        <v>3364.08</v>
      </c>
      <c r="J79" s="812">
        <f t="shared" si="29"/>
        <v>0</v>
      </c>
      <c r="K79" s="813">
        <f t="shared" si="30"/>
        <v>901.590648</v>
      </c>
      <c r="L79" s="813">
        <f t="shared" si="31"/>
        <v>3721.083213</v>
      </c>
      <c r="M79" s="813">
        <f t="shared" si="8"/>
        <v>1540.8912870000001</v>
      </c>
      <c r="N79" s="813">
        <f>SUM(M79*$N$9+'VLR 2012 a 2018 ATUALIZ média'!M79)</f>
        <v>1635.9642794079002</v>
      </c>
      <c r="O79" s="813">
        <f>N79*$O$9+'VLR 2012 a 2018 ATUALIZ média'!N79</f>
        <v>1657.231815040203</v>
      </c>
      <c r="P79" s="813">
        <f>O79*$P$9+'VLR 2012 a 2018 ATUALIZ média'!O79</f>
        <v>1688.7192195259668</v>
      </c>
      <c r="Q79" s="813">
        <f>P79*$Q$9+'VLR 2012 a 2018 ATUALIZ média'!P79</f>
        <v>1729.24848079459</v>
      </c>
    </row>
    <row r="80" spans="2:17" s="605" customFormat="1" ht="12.75" customHeight="1">
      <c r="B80" s="606" t="s">
        <v>109</v>
      </c>
      <c r="C80" s="607" t="s">
        <v>324</v>
      </c>
      <c r="D80" s="583">
        <v>70</v>
      </c>
      <c r="E80" s="608">
        <f aca="true" t="shared" si="32" ref="E80:Q80">SUM(E81:E92)</f>
        <v>38991.85999999999</v>
      </c>
      <c r="F80" s="608">
        <f t="shared" si="32"/>
        <v>37894.420000000006</v>
      </c>
      <c r="G80" s="608">
        <f t="shared" si="32"/>
        <v>48473.119999999995</v>
      </c>
      <c r="H80" s="608">
        <f t="shared" si="32"/>
        <v>22036</v>
      </c>
      <c r="I80" s="608">
        <f>SUM(I81:I92)</f>
        <v>107314.44</v>
      </c>
      <c r="J80" s="608">
        <f t="shared" si="32"/>
        <v>46509.66323681774</v>
      </c>
      <c r="K80" s="608">
        <f t="shared" si="32"/>
        <v>42706.5683542302</v>
      </c>
      <c r="L80" s="608">
        <f t="shared" si="32"/>
        <v>51580.24699199999</v>
      </c>
      <c r="M80" s="608">
        <f t="shared" si="32"/>
        <v>46932.15952768265</v>
      </c>
      <c r="N80" s="608">
        <f>SUM(N81:N92)</f>
        <v>49827.87377054066</v>
      </c>
      <c r="O80" s="770">
        <f t="shared" si="32"/>
        <v>50475.63612955769</v>
      </c>
      <c r="P80" s="608">
        <f t="shared" si="32"/>
        <v>51434.673216019284</v>
      </c>
      <c r="Q80" s="608">
        <f t="shared" si="32"/>
        <v>52669.105373203754</v>
      </c>
    </row>
    <row r="81" spans="2:17" ht="12.75" customHeight="1">
      <c r="B81" s="638" t="s">
        <v>28</v>
      </c>
      <c r="C81" s="611">
        <v>0</v>
      </c>
      <c r="D81" s="583">
        <v>71</v>
      </c>
      <c r="E81" s="617">
        <v>1430.26</v>
      </c>
      <c r="F81" s="617">
        <v>1278.33</v>
      </c>
      <c r="G81" s="617">
        <v>2188.73</v>
      </c>
      <c r="H81" s="617">
        <v>1000</v>
      </c>
      <c r="I81" s="617">
        <v>1511.06</v>
      </c>
      <c r="J81" s="613">
        <f aca="true" t="shared" si="33" ref="J81:J92">SUM(((E81*$J$9+E81)+((E81*$J$9+E81)*$K$9))*$L$9)+(E81*$J$9+E81)+((E81*$J$9+E81)*$K$9)</f>
        <v>1706.020460195819</v>
      </c>
      <c r="K81" s="614">
        <f aca="true" t="shared" si="34" ref="K81:K92">SUM(F81*$K$9+F81)+((F81*$K$9+F81)*$L$9)</f>
        <v>1440.6629663223</v>
      </c>
      <c r="L81" s="614">
        <f aca="true" t="shared" si="35" ref="L81:L92">SUM(G81*$L$9+G81)</f>
        <v>2329.027593</v>
      </c>
      <c r="M81" s="615">
        <f aca="true" t="shared" si="36" ref="M81:M106">(J81+K81+L81)/3</f>
        <v>1825.2370065060395</v>
      </c>
      <c r="N81" s="614">
        <f>SUM(M81*$N$9+'VLR 2012 a 2018 ATUALIZ média'!M81)</f>
        <v>1937.8541298074622</v>
      </c>
      <c r="O81" s="614">
        <f>N81*$O$9+'VLR 2012 a 2018 ATUALIZ média'!N81</f>
        <v>1963.046233494959</v>
      </c>
      <c r="P81" s="614">
        <f>O81*$P$9+'VLR 2012 a 2018 ATUALIZ média'!O81</f>
        <v>2000.3441119313634</v>
      </c>
      <c r="Q81" s="614">
        <f>P81*$Q$9+'VLR 2012 a 2018 ATUALIZ média'!P81</f>
        <v>2048.352370617716</v>
      </c>
    </row>
    <row r="82" spans="2:17" ht="12.75" customHeight="1">
      <c r="B82" s="638" t="s">
        <v>29</v>
      </c>
      <c r="C82" s="611">
        <v>0</v>
      </c>
      <c r="D82" s="583">
        <v>72</v>
      </c>
      <c r="E82" s="617">
        <v>1814.31</v>
      </c>
      <c r="F82" s="617">
        <v>0</v>
      </c>
      <c r="G82" s="617">
        <v>0</v>
      </c>
      <c r="H82" s="617">
        <v>0</v>
      </c>
      <c r="I82" s="617">
        <v>0</v>
      </c>
      <c r="J82" s="613">
        <f t="shared" si="33"/>
        <v>2164.1170005019203</v>
      </c>
      <c r="K82" s="614">
        <f t="shared" si="34"/>
        <v>0</v>
      </c>
      <c r="L82" s="614">
        <f t="shared" si="35"/>
        <v>0</v>
      </c>
      <c r="M82" s="615">
        <f t="shared" si="36"/>
        <v>721.3723335006401</v>
      </c>
      <c r="N82" s="614">
        <f>SUM(M82*$N$9+'VLR 2012 a 2018 ATUALIZ média'!M82)</f>
        <v>765.8810064776296</v>
      </c>
      <c r="O82" s="614">
        <f>N82*$O$9+'VLR 2012 a 2018 ATUALIZ média'!N82</f>
        <v>775.8374595618388</v>
      </c>
      <c r="P82" s="614">
        <f>O82*$P$9+'VLR 2012 a 2018 ATUALIZ média'!O82</f>
        <v>790.5783712935138</v>
      </c>
      <c r="Q82" s="614">
        <f>P82*$Q$9+'VLR 2012 a 2018 ATUALIZ média'!P82</f>
        <v>809.5522522045582</v>
      </c>
    </row>
    <row r="83" spans="2:17" ht="12.75" customHeight="1">
      <c r="B83" s="638" t="s">
        <v>30</v>
      </c>
      <c r="C83" s="611">
        <v>0</v>
      </c>
      <c r="D83" s="583">
        <v>73</v>
      </c>
      <c r="E83" s="617">
        <v>1693.56</v>
      </c>
      <c r="F83" s="617">
        <v>3276.57</v>
      </c>
      <c r="G83" s="617">
        <v>2059.05</v>
      </c>
      <c r="H83" s="617">
        <v>2000</v>
      </c>
      <c r="I83" s="617">
        <v>980.41</v>
      </c>
      <c r="J83" s="613">
        <f t="shared" si="33"/>
        <v>2020.0858659049622</v>
      </c>
      <c r="K83" s="614">
        <f t="shared" si="34"/>
        <v>3692.6560868967</v>
      </c>
      <c r="L83" s="614">
        <f t="shared" si="35"/>
        <v>2191.0351050000004</v>
      </c>
      <c r="M83" s="615">
        <f t="shared" si="36"/>
        <v>2634.592352600554</v>
      </c>
      <c r="N83" s="614">
        <f>SUM(M83*$N$9+'VLR 2012 a 2018 ATUALIZ média'!M83)</f>
        <v>2797.146700756008</v>
      </c>
      <c r="O83" s="614">
        <f>N83*$O$9+'VLR 2012 a 2018 ATUALIZ média'!N83</f>
        <v>2833.509607865836</v>
      </c>
      <c r="P83" s="614">
        <f>O83*$P$9+'VLR 2012 a 2018 ATUALIZ média'!O83</f>
        <v>2887.346290415287</v>
      </c>
      <c r="Q83" s="614">
        <f>P83*$Q$9+'VLR 2012 a 2018 ATUALIZ média'!P83</f>
        <v>2956.642601385254</v>
      </c>
    </row>
    <row r="84" spans="2:17" ht="12.75" customHeight="1">
      <c r="B84" s="638" t="s">
        <v>280</v>
      </c>
      <c r="C84" s="611">
        <v>0</v>
      </c>
      <c r="D84" s="583">
        <v>74</v>
      </c>
      <c r="E84" s="617">
        <v>0</v>
      </c>
      <c r="F84" s="617">
        <v>0</v>
      </c>
      <c r="G84" s="617">
        <v>0</v>
      </c>
      <c r="H84" s="617">
        <v>0</v>
      </c>
      <c r="I84" s="617">
        <v>0</v>
      </c>
      <c r="J84" s="613">
        <f t="shared" si="33"/>
        <v>0</v>
      </c>
      <c r="K84" s="614">
        <f t="shared" si="34"/>
        <v>0</v>
      </c>
      <c r="L84" s="614">
        <f t="shared" si="35"/>
        <v>0</v>
      </c>
      <c r="M84" s="615">
        <f t="shared" si="36"/>
        <v>0</v>
      </c>
      <c r="N84" s="614">
        <f>SUM(M84*$N$9+'VLR 2012 a 2018 ATUALIZ média'!M84)</f>
        <v>0</v>
      </c>
      <c r="O84" s="614">
        <f>N84*$O$9+'VLR 2012 a 2018 ATUALIZ média'!N84</f>
        <v>0</v>
      </c>
      <c r="P84" s="614">
        <f>O84*$P$9+'VLR 2012 a 2018 ATUALIZ média'!O84</f>
        <v>0</v>
      </c>
      <c r="Q84" s="614">
        <f>P84*$Q$9+'VLR 2012 a 2018 ATUALIZ média'!P84</f>
        <v>0</v>
      </c>
    </row>
    <row r="85" spans="2:17" ht="12.75" customHeight="1">
      <c r="B85" s="638" t="s">
        <v>200</v>
      </c>
      <c r="C85" s="611">
        <v>0</v>
      </c>
      <c r="D85" s="583">
        <v>75</v>
      </c>
      <c r="E85" s="617">
        <v>0</v>
      </c>
      <c r="F85" s="617">
        <v>2850</v>
      </c>
      <c r="G85" s="617">
        <v>0</v>
      </c>
      <c r="H85" s="617">
        <v>0</v>
      </c>
      <c r="I85" s="617"/>
      <c r="J85" s="613">
        <f t="shared" si="33"/>
        <v>0</v>
      </c>
      <c r="K85" s="614">
        <f t="shared" si="34"/>
        <v>3211.9166835</v>
      </c>
      <c r="L85" s="614">
        <f t="shared" si="35"/>
        <v>0</v>
      </c>
      <c r="M85" s="615">
        <f t="shared" si="36"/>
        <v>1070.6388945</v>
      </c>
      <c r="N85" s="614">
        <f>SUM(M85*$N$9+'VLR 2012 a 2018 ATUALIZ média'!M85)</f>
        <v>1136.6973142906502</v>
      </c>
      <c r="O85" s="614">
        <f>N85*$O$9+'VLR 2012 a 2018 ATUALIZ média'!N85</f>
        <v>1151.4743793764287</v>
      </c>
      <c r="P85" s="614">
        <f>O85*$P$9+'VLR 2012 a 2018 ATUALIZ média'!O85</f>
        <v>1173.352392584581</v>
      </c>
      <c r="Q85" s="614">
        <f>P85*$Q$9+'VLR 2012 a 2018 ATUALIZ média'!P85</f>
        <v>1201.512850006611</v>
      </c>
    </row>
    <row r="86" spans="2:17" s="640" customFormat="1" ht="12.75" customHeight="1">
      <c r="B86" s="638" t="s">
        <v>26</v>
      </c>
      <c r="C86" s="611">
        <v>0</v>
      </c>
      <c r="D86" s="583">
        <v>76</v>
      </c>
      <c r="E86" s="617">
        <v>23955.42</v>
      </c>
      <c r="F86" s="617">
        <v>4498.04</v>
      </c>
      <c r="G86" s="617">
        <v>18225.94</v>
      </c>
      <c r="H86" s="617">
        <v>0</v>
      </c>
      <c r="I86" s="617">
        <v>8115.67</v>
      </c>
      <c r="J86" s="613">
        <f t="shared" si="33"/>
        <v>28574.131033926784</v>
      </c>
      <c r="K86" s="614">
        <f t="shared" si="34"/>
        <v>5069.2384979124</v>
      </c>
      <c r="L86" s="614">
        <f t="shared" si="35"/>
        <v>19394.222754</v>
      </c>
      <c r="M86" s="615">
        <f t="shared" si="36"/>
        <v>17679.19742861306</v>
      </c>
      <c r="N86" s="614">
        <f>SUM(M86*$N$9+'VLR 2012 a 2018 ATUALIZ média'!M86)</f>
        <v>18770.003909958486</v>
      </c>
      <c r="O86" s="614">
        <f>N86*$O$9+'VLR 2012 a 2018 ATUALIZ média'!N86</f>
        <v>19014.013960787946</v>
      </c>
      <c r="P86" s="614">
        <f>O86*$P$9+'VLR 2012 a 2018 ATUALIZ média'!O86</f>
        <v>19375.280226042916</v>
      </c>
      <c r="Q86" s="614">
        <f>P86*$Q$9+'VLR 2012 a 2018 ATUALIZ média'!P86</f>
        <v>19840.286951467948</v>
      </c>
    </row>
    <row r="87" spans="2:17" ht="12.75" customHeight="1">
      <c r="B87" s="638" t="s">
        <v>31</v>
      </c>
      <c r="C87" s="611">
        <v>0</v>
      </c>
      <c r="D87" s="583">
        <v>77</v>
      </c>
      <c r="E87" s="617">
        <v>4276.54</v>
      </c>
      <c r="F87" s="617">
        <v>7963.42</v>
      </c>
      <c r="G87" s="617">
        <v>5885.12</v>
      </c>
      <c r="H87" s="617">
        <v>5500</v>
      </c>
      <c r="I87" s="617">
        <v>4998.99</v>
      </c>
      <c r="J87" s="613">
        <f t="shared" si="33"/>
        <v>5101.075845542648</v>
      </c>
      <c r="K87" s="614">
        <f t="shared" si="34"/>
        <v>8974.681247620201</v>
      </c>
      <c r="L87" s="614">
        <f t="shared" si="35"/>
        <v>6262.356192</v>
      </c>
      <c r="M87" s="615">
        <f t="shared" si="36"/>
        <v>6779.371095054284</v>
      </c>
      <c r="N87" s="614">
        <f>SUM(M87*$N$9+'VLR 2012 a 2018 ATUALIZ média'!M87)</f>
        <v>7197.658291619133</v>
      </c>
      <c r="O87" s="614">
        <f>N87*$O$9+'VLR 2012 a 2018 ATUALIZ média'!N87</f>
        <v>7291.227849410181</v>
      </c>
      <c r="P87" s="614">
        <f>O87*$P$9+'VLR 2012 a 2018 ATUALIZ média'!O87</f>
        <v>7429.761178548974</v>
      </c>
      <c r="Q87" s="614">
        <f>P87*$Q$9+'VLR 2012 a 2018 ATUALIZ média'!P87</f>
        <v>7608.07544683415</v>
      </c>
    </row>
    <row r="88" spans="2:17" ht="12.75" customHeight="1">
      <c r="B88" s="638" t="s">
        <v>400</v>
      </c>
      <c r="C88" s="611">
        <v>0</v>
      </c>
      <c r="D88" s="583">
        <v>78</v>
      </c>
      <c r="E88" s="617">
        <v>807.94</v>
      </c>
      <c r="F88" s="617">
        <v>4932.44</v>
      </c>
      <c r="G88" s="617">
        <v>3907.33</v>
      </c>
      <c r="H88" s="612">
        <v>1000</v>
      </c>
      <c r="I88" s="612">
        <v>1774.72</v>
      </c>
      <c r="J88" s="613">
        <f t="shared" si="33"/>
        <v>963.714408995994</v>
      </c>
      <c r="K88" s="614">
        <f t="shared" si="34"/>
        <v>5558.8022197764</v>
      </c>
      <c r="L88" s="614">
        <f t="shared" si="35"/>
        <v>4157.789853</v>
      </c>
      <c r="M88" s="615">
        <f t="shared" si="36"/>
        <v>3560.1021605907977</v>
      </c>
      <c r="N88" s="614">
        <f>SUM(M88*$N$9+'VLR 2012 a 2018 ATUALIZ média'!M88)</f>
        <v>3779.7604638992498</v>
      </c>
      <c r="O88" s="614">
        <f>N88*$O$9+'VLR 2012 a 2018 ATUALIZ média'!N88</f>
        <v>3828.89734992994</v>
      </c>
      <c r="P88" s="614">
        <f>O88*$P$9+'VLR 2012 a 2018 ATUALIZ média'!O88</f>
        <v>3901.646399578609</v>
      </c>
      <c r="Q88" s="614">
        <f>P88*$Q$9+'VLR 2012 a 2018 ATUALIZ média'!P88</f>
        <v>3995.2859131684954</v>
      </c>
    </row>
    <row r="89" spans="2:17" ht="12.75" customHeight="1">
      <c r="B89" s="638" t="s">
        <v>32</v>
      </c>
      <c r="C89" s="611">
        <v>0</v>
      </c>
      <c r="D89" s="583">
        <v>79</v>
      </c>
      <c r="E89" s="617">
        <v>4011.63</v>
      </c>
      <c r="F89" s="617">
        <v>2120.99</v>
      </c>
      <c r="G89" s="617">
        <v>3643.95</v>
      </c>
      <c r="H89" s="612">
        <v>2500</v>
      </c>
      <c r="I89" s="612">
        <v>1485.24</v>
      </c>
      <c r="J89" s="613">
        <f t="shared" si="33"/>
        <v>4785.090024705546</v>
      </c>
      <c r="K89" s="614">
        <f t="shared" si="34"/>
        <v>2390.3309356268996</v>
      </c>
      <c r="L89" s="614">
        <f t="shared" si="35"/>
        <v>3877.5271949999997</v>
      </c>
      <c r="M89" s="615">
        <f t="shared" si="36"/>
        <v>3684.3160517774813</v>
      </c>
      <c r="N89" s="614">
        <f>SUM(M89*$N$9+'VLR 2012 a 2018 ATUALIZ média'!M89)</f>
        <v>3911.638352172152</v>
      </c>
      <c r="O89" s="614">
        <f>N89*$O$9+'VLR 2012 a 2018 ATUALIZ média'!N89</f>
        <v>3962.48965075039</v>
      </c>
      <c r="P89" s="614">
        <f>O89*$P$9+'VLR 2012 a 2018 ATUALIZ média'!O89</f>
        <v>4037.776954114647</v>
      </c>
      <c r="Q89" s="614">
        <f>P89*$Q$9+'VLR 2012 a 2018 ATUALIZ média'!P89</f>
        <v>4134.683601013398</v>
      </c>
    </row>
    <row r="90" spans="2:17" ht="12.75" customHeight="1">
      <c r="B90" s="638" t="s">
        <v>401</v>
      </c>
      <c r="C90" s="611">
        <v>0</v>
      </c>
      <c r="D90" s="583">
        <v>80</v>
      </c>
      <c r="E90" s="617">
        <v>602.46</v>
      </c>
      <c r="F90" s="617">
        <v>10525.33</v>
      </c>
      <c r="G90" s="617">
        <v>12562.55</v>
      </c>
      <c r="H90" s="612">
        <v>10000</v>
      </c>
      <c r="I90" s="612">
        <v>6334.88</v>
      </c>
      <c r="J90" s="613">
        <f t="shared" si="33"/>
        <v>718.616955273568</v>
      </c>
      <c r="K90" s="614">
        <f t="shared" si="34"/>
        <v>11861.9238688923</v>
      </c>
      <c r="L90" s="614">
        <f t="shared" si="35"/>
        <v>13367.809454999999</v>
      </c>
      <c r="M90" s="615">
        <f t="shared" si="36"/>
        <v>8649.45009305529</v>
      </c>
      <c r="N90" s="614">
        <f>SUM(M90*$N$9+'VLR 2012 a 2018 ATUALIZ média'!M90)</f>
        <v>9183.1211637968</v>
      </c>
      <c r="O90" s="614">
        <f>N90*$O$9+'VLR 2012 a 2018 ATUALIZ média'!N90</f>
        <v>9302.50173892616</v>
      </c>
      <c r="P90" s="614">
        <f>O90*$P$9+'VLR 2012 a 2018 ATUALIZ média'!O90</f>
        <v>9479.249271965757</v>
      </c>
      <c r="Q90" s="614">
        <f>P90*$Q$9+'VLR 2012 a 2018 ATUALIZ média'!P90</f>
        <v>9706.751254492934</v>
      </c>
    </row>
    <row r="91" spans="2:17" s="640" customFormat="1" ht="12.75" customHeight="1">
      <c r="B91" s="638" t="s">
        <v>22</v>
      </c>
      <c r="C91" s="611">
        <v>0</v>
      </c>
      <c r="D91" s="583">
        <v>81</v>
      </c>
      <c r="E91" s="617">
        <v>0</v>
      </c>
      <c r="F91" s="617">
        <v>0</v>
      </c>
      <c r="G91" s="617">
        <v>0</v>
      </c>
      <c r="H91" s="639">
        <v>0</v>
      </c>
      <c r="I91" s="639">
        <v>0</v>
      </c>
      <c r="J91" s="613">
        <f t="shared" si="33"/>
        <v>0</v>
      </c>
      <c r="K91" s="614">
        <f t="shared" si="34"/>
        <v>0</v>
      </c>
      <c r="L91" s="614">
        <f t="shared" si="35"/>
        <v>0</v>
      </c>
      <c r="M91" s="615">
        <f t="shared" si="36"/>
        <v>0</v>
      </c>
      <c r="N91" s="614">
        <f>SUM(M91*$N$9+'VLR 2012 a 2018 ATUALIZ média'!M91)</f>
        <v>0</v>
      </c>
      <c r="O91" s="614">
        <f>N91*$O$9+'VLR 2012 a 2018 ATUALIZ média'!N91</f>
        <v>0</v>
      </c>
      <c r="P91" s="614">
        <f>O91*$P$9+'VLR 2012 a 2018 ATUALIZ média'!O91</f>
        <v>0</v>
      </c>
      <c r="Q91" s="614">
        <f>P91*$Q$9+'VLR 2012 a 2018 ATUALIZ média'!P91</f>
        <v>0</v>
      </c>
    </row>
    <row r="92" spans="2:17" ht="12.75" customHeight="1">
      <c r="B92" s="638" t="s">
        <v>25</v>
      </c>
      <c r="C92" s="611">
        <v>0</v>
      </c>
      <c r="D92" s="583">
        <v>82</v>
      </c>
      <c r="E92" s="617">
        <v>399.74</v>
      </c>
      <c r="F92" s="617">
        <v>449.3</v>
      </c>
      <c r="G92" s="617">
        <v>0.45</v>
      </c>
      <c r="H92" s="612">
        <v>36</v>
      </c>
      <c r="I92" s="612">
        <v>82113.47</v>
      </c>
      <c r="J92" s="613">
        <f t="shared" si="33"/>
        <v>476.81164177050096</v>
      </c>
      <c r="K92" s="614">
        <f t="shared" si="34"/>
        <v>506.35584768300004</v>
      </c>
      <c r="L92" s="614">
        <f t="shared" si="35"/>
        <v>0.478845</v>
      </c>
      <c r="M92" s="615">
        <f t="shared" si="36"/>
        <v>327.88211148450034</v>
      </c>
      <c r="N92" s="614">
        <f>SUM(M92*$N$9+'VLR 2012 a 2018 ATUALIZ média'!M92)</f>
        <v>348.112437763094</v>
      </c>
      <c r="O92" s="614">
        <f>N92*$O$9+'VLR 2012 a 2018 ATUALIZ média'!N92</f>
        <v>352.63789945401425</v>
      </c>
      <c r="P92" s="614">
        <f>O92*$P$9+'VLR 2012 a 2018 ATUALIZ média'!O92</f>
        <v>359.33801954364054</v>
      </c>
      <c r="Q92" s="614">
        <f>P92*$Q$9+'VLR 2012 a 2018 ATUALIZ média'!P92</f>
        <v>367.9621320126879</v>
      </c>
    </row>
    <row r="93" spans="2:17" ht="12.75" customHeight="1">
      <c r="B93" s="641" t="s">
        <v>180</v>
      </c>
      <c r="C93" s="642" t="s">
        <v>325</v>
      </c>
      <c r="D93" s="583">
        <v>83</v>
      </c>
      <c r="E93" s="643">
        <f>SUM(E94:E96)</f>
        <v>1548125.53</v>
      </c>
      <c r="F93" s="643">
        <f aca="true" t="shared" si="37" ref="F93:Q93">SUM(F94:F96)</f>
        <v>1675932.19</v>
      </c>
      <c r="G93" s="643">
        <f t="shared" si="37"/>
        <v>1841491.85</v>
      </c>
      <c r="H93" s="643">
        <f t="shared" si="37"/>
        <v>2034300</v>
      </c>
      <c r="I93" s="643">
        <f t="shared" si="37"/>
        <v>1078092.99</v>
      </c>
      <c r="J93" s="643">
        <f t="shared" si="37"/>
        <v>1846610.9862063515</v>
      </c>
      <c r="K93" s="643">
        <f t="shared" si="37"/>
        <v>1888755.9864826987</v>
      </c>
      <c r="L93" s="643">
        <f t="shared" si="37"/>
        <v>1959531.477585</v>
      </c>
      <c r="M93" s="643">
        <f t="shared" si="37"/>
        <v>1898299.483424683</v>
      </c>
      <c r="N93" s="643">
        <f t="shared" si="37"/>
        <v>2037653.5930190443</v>
      </c>
      <c r="O93" s="643">
        <f t="shared" si="37"/>
        <v>2064431.031158292</v>
      </c>
      <c r="P93" s="643">
        <f t="shared" si="37"/>
        <v>2103277.6061320994</v>
      </c>
      <c r="Q93" s="643">
        <f t="shared" si="37"/>
        <v>2153162.9941568975</v>
      </c>
    </row>
    <row r="94" spans="2:17" s="623" customFormat="1" ht="14.25" customHeight="1">
      <c r="B94" s="621" t="s">
        <v>181</v>
      </c>
      <c r="C94" s="644">
        <v>0</v>
      </c>
      <c r="D94" s="583">
        <v>84</v>
      </c>
      <c r="E94" s="622">
        <v>1548125.53</v>
      </c>
      <c r="F94" s="622">
        <v>1665389.91</v>
      </c>
      <c r="G94" s="622">
        <v>1802454.81</v>
      </c>
      <c r="H94" s="622">
        <v>2004300</v>
      </c>
      <c r="I94" s="622">
        <v>1036656.48</v>
      </c>
      <c r="J94" s="717">
        <f>SUM(((E94*$J$9+E94)+((E94*$J$9+E94)*$K$9))*$L$9)+(E94*$J$9+E94)+((E94*$J$9+E94)*$K$9)</f>
        <v>1846610.9862063515</v>
      </c>
      <c r="K94" s="718">
        <f>SUM(F94*$K$9+F94)+((F94*$K$9+F94)*$L$9)</f>
        <v>1876874.9601619518</v>
      </c>
      <c r="L94" s="718">
        <f>SUM(G94*$L$9+G94)</f>
        <v>1917992.163321</v>
      </c>
      <c r="M94" s="719">
        <f t="shared" si="36"/>
        <v>1880492.7032297675</v>
      </c>
      <c r="N94" s="718">
        <f>SUM(M94*$N$9+'VLR 2012 a 2018 ATUALIZ média'!M94)</f>
        <v>1996519.1030190443</v>
      </c>
      <c r="O94" s="718">
        <f>N94*$O$9+'VLR 2012 a 2018 ATUALIZ média'!N94</f>
        <v>2022473.851358292</v>
      </c>
      <c r="P94" s="718">
        <f>O94*$P$9+'VLR 2012 a 2018 ATUALIZ média'!O94</f>
        <v>2060900.8545340996</v>
      </c>
      <c r="Q94" s="718">
        <f>P94*$Q$9+'VLR 2012 a 2018 ATUALIZ média'!P94</f>
        <v>2110362.4750429178</v>
      </c>
    </row>
    <row r="95" spans="2:17" s="623" customFormat="1" ht="12.75" customHeight="1">
      <c r="B95" s="621" t="s">
        <v>408</v>
      </c>
      <c r="C95" s="611">
        <v>0</v>
      </c>
      <c r="D95" s="583">
        <v>85</v>
      </c>
      <c r="E95" s="622">
        <v>0</v>
      </c>
      <c r="F95" s="622">
        <v>10542.28</v>
      </c>
      <c r="G95" s="622">
        <v>39037.04</v>
      </c>
      <c r="H95" s="622">
        <v>30000</v>
      </c>
      <c r="I95" s="622">
        <v>41134.49</v>
      </c>
      <c r="J95" s="717">
        <f>SUM(((E95*$J$9+E95)+((E95*$J$9+E95)*$K$9))*$L$9)+(E95*$J$9+E95)+((E95*$J$9+E95)*$K$9)</f>
        <v>0</v>
      </c>
      <c r="K95" s="718">
        <f>SUM(F95*$K$9+F95)+((F95*$K$9+F95)*$L$9)</f>
        <v>11881.0263207468</v>
      </c>
      <c r="L95" s="718">
        <f>SUM(G95*$L$9+G95)</f>
        <v>41539.314264</v>
      </c>
      <c r="M95" s="719">
        <f t="shared" si="36"/>
        <v>17806.780194915602</v>
      </c>
      <c r="N95" s="786">
        <v>41134.49</v>
      </c>
      <c r="O95" s="788">
        <f>N95*'TAB. P - PARÂMETROS'!E20+N95</f>
        <v>41957.1798</v>
      </c>
      <c r="P95" s="788">
        <f>O95*'TAB. P - PARÂMETROS'!F20+O95</f>
        <v>42376.751597999995</v>
      </c>
      <c r="Q95" s="788">
        <f>P95*'TAB. P - PARÂMETROS'!G20+P95</f>
        <v>42800.51911397999</v>
      </c>
    </row>
    <row r="96" spans="2:17" s="623" customFormat="1" ht="12.75" customHeight="1">
      <c r="B96" s="621" t="s">
        <v>1111</v>
      </c>
      <c r="C96" s="611">
        <v>0</v>
      </c>
      <c r="D96" s="583">
        <v>86</v>
      </c>
      <c r="E96" s="622">
        <v>0</v>
      </c>
      <c r="F96" s="622">
        <v>0</v>
      </c>
      <c r="G96" s="622">
        <v>0</v>
      </c>
      <c r="H96" s="622">
        <v>0</v>
      </c>
      <c r="I96" s="622">
        <v>302.02</v>
      </c>
      <c r="J96" s="613">
        <f>SUM(((E96*$J$9+E96)+((E96*$J$9+E96)*$K$9))*$L$9)+(E96*$J$9+E96)+((E96*$J$9+E96)*$K$9)</f>
        <v>0</v>
      </c>
      <c r="K96" s="614">
        <f>SUM(F96*$K$9+F96)+((F96*$K$9+F96)*$L$9)</f>
        <v>0</v>
      </c>
      <c r="L96" s="614">
        <f>SUM(G96*$L$9+G96)</f>
        <v>0</v>
      </c>
      <c r="M96" s="615">
        <f t="shared" si="36"/>
        <v>0</v>
      </c>
      <c r="N96" s="614">
        <f>SUM(M96*$N$9+'VLR 2012 a 2018 ATUALIZ média'!M96)</f>
        <v>0</v>
      </c>
      <c r="O96" s="718">
        <f>N96*$O$9+'VLR 2012 a 2018 ATUALIZ média'!N96</f>
        <v>0</v>
      </c>
      <c r="P96" s="718">
        <f>O96*$P$9+'VLR 2012 a 2018 ATUALIZ média'!O96</f>
        <v>0</v>
      </c>
      <c r="Q96" s="718">
        <f>P96*$Q$9+'VLR 2012 a 2018 ATUALIZ média'!P96</f>
        <v>0</v>
      </c>
    </row>
    <row r="97" spans="2:17" s="647" customFormat="1" ht="23.25" customHeight="1">
      <c r="B97" s="597" t="s">
        <v>199</v>
      </c>
      <c r="C97" s="645" t="s">
        <v>326</v>
      </c>
      <c r="D97" s="583">
        <v>87</v>
      </c>
      <c r="E97" s="646">
        <f aca="true" t="shared" si="38" ref="E97:Q97">SUM(E98+E99+E104+E105+E129)</f>
        <v>1173861.08</v>
      </c>
      <c r="F97" s="646">
        <f t="shared" si="38"/>
        <v>1401680.21</v>
      </c>
      <c r="G97" s="646">
        <f t="shared" si="38"/>
        <v>515526.17000000004</v>
      </c>
      <c r="H97" s="646">
        <f t="shared" si="38"/>
        <v>1740000</v>
      </c>
      <c r="I97" s="646">
        <f t="shared" si="38"/>
        <v>97500</v>
      </c>
      <c r="J97" s="646">
        <f t="shared" si="38"/>
        <v>1400186.6932638548</v>
      </c>
      <c r="K97" s="646">
        <f t="shared" si="38"/>
        <v>1579677.2110283454</v>
      </c>
      <c r="L97" s="646">
        <f t="shared" si="38"/>
        <v>548571.3974969999</v>
      </c>
      <c r="M97" s="646">
        <f t="shared" si="38"/>
        <v>1176145.1005963997</v>
      </c>
      <c r="N97" s="646">
        <f t="shared" si="38"/>
        <v>1101534.135489292</v>
      </c>
      <c r="O97" s="772">
        <f t="shared" si="38"/>
        <v>503420</v>
      </c>
      <c r="P97" s="646">
        <f t="shared" si="38"/>
        <v>0</v>
      </c>
      <c r="Q97" s="646">
        <f t="shared" si="38"/>
        <v>0</v>
      </c>
    </row>
    <row r="98" spans="2:17" s="605" customFormat="1" ht="12.75" customHeight="1">
      <c r="B98" s="606" t="s">
        <v>110</v>
      </c>
      <c r="C98" s="607">
        <v>0</v>
      </c>
      <c r="D98" s="583">
        <v>88</v>
      </c>
      <c r="E98" s="627">
        <v>0</v>
      </c>
      <c r="F98" s="627">
        <v>0</v>
      </c>
      <c r="G98" s="627">
        <v>0</v>
      </c>
      <c r="H98" s="627">
        <v>339000</v>
      </c>
      <c r="I98" s="627">
        <f>0</f>
        <v>0</v>
      </c>
      <c r="J98" s="628">
        <f>SUM(((E98*$J$9+E98)+((E98*$J$9+E98)*$K$9))*$L$9)+(E98*$J$9+E98)+((E98*$J$9+E98)*$K$9)</f>
        <v>0</v>
      </c>
      <c r="K98" s="629">
        <f>SUM(F98*$K$9+F98)+((F98*$K$9+F98)*$L$9)</f>
        <v>0</v>
      </c>
      <c r="L98" s="629">
        <f>SUM(G98*$L$9+G98)</f>
        <v>0</v>
      </c>
      <c r="M98" s="629">
        <f t="shared" si="36"/>
        <v>0</v>
      </c>
      <c r="N98" s="629">
        <f>SUM(J98*$K$9+J98)+((J98*$K$9+J98)*$L$9)</f>
        <v>0</v>
      </c>
      <c r="O98" s="629">
        <f>SUM(J98*$L$9+J98)</f>
        <v>0</v>
      </c>
      <c r="P98" s="629">
        <f>SUM(K98*$L$9+K98)</f>
        <v>0</v>
      </c>
      <c r="Q98" s="629">
        <f>(M98+N98+P98)/3</f>
        <v>0</v>
      </c>
    </row>
    <row r="99" spans="2:17" s="605" customFormat="1" ht="15" customHeight="1">
      <c r="B99" s="606" t="s">
        <v>111</v>
      </c>
      <c r="C99" s="607" t="s">
        <v>327</v>
      </c>
      <c r="D99" s="583">
        <v>89</v>
      </c>
      <c r="E99" s="627">
        <f>SUM(E100:E103)</f>
        <v>33245</v>
      </c>
      <c r="F99" s="627">
        <f>SUM(F100:F103)</f>
        <v>0</v>
      </c>
      <c r="G99" s="627">
        <f aca="true" t="shared" si="39" ref="G99:M99">SUM(G100:G103)</f>
        <v>0</v>
      </c>
      <c r="H99" s="627">
        <f t="shared" si="39"/>
        <v>14000</v>
      </c>
      <c r="I99" s="627">
        <f t="shared" si="39"/>
        <v>0</v>
      </c>
      <c r="J99" s="627">
        <f t="shared" si="39"/>
        <v>39654.78318572148</v>
      </c>
      <c r="K99" s="627">
        <f t="shared" si="39"/>
        <v>0</v>
      </c>
      <c r="L99" s="627">
        <f t="shared" si="39"/>
        <v>0</v>
      </c>
      <c r="M99" s="627">
        <f t="shared" si="39"/>
        <v>13218.26106190716</v>
      </c>
      <c r="N99" s="627">
        <f>SUM(N100:N103)</f>
        <v>14033.82776942683</v>
      </c>
      <c r="O99" s="773">
        <f>SUM(O100:O103)</f>
        <v>25000</v>
      </c>
      <c r="P99" s="627">
        <f>SUM(P100:P103)</f>
        <v>0</v>
      </c>
      <c r="Q99" s="627">
        <f>SUM(Q100:Q103)</f>
        <v>0</v>
      </c>
    </row>
    <row r="100" spans="2:17" s="623" customFormat="1" ht="12.75" customHeight="1">
      <c r="B100" s="638" t="s">
        <v>340</v>
      </c>
      <c r="C100" s="611">
        <v>0</v>
      </c>
      <c r="D100" s="583">
        <v>90</v>
      </c>
      <c r="E100" s="617">
        <v>18010</v>
      </c>
      <c r="F100" s="617">
        <v>0</v>
      </c>
      <c r="G100" s="617">
        <v>0</v>
      </c>
      <c r="H100" s="617">
        <v>2000</v>
      </c>
      <c r="I100" s="617">
        <v>0</v>
      </c>
      <c r="J100" s="613">
        <f>SUM(((E100*$J$9+E100)+((E100*$J$9+E100)*$K$9))*$L$9)+(E100*$J$9+E100)+((E100*$J$9+E100)*$K$9)</f>
        <v>21482.40773574504</v>
      </c>
      <c r="K100" s="614">
        <f>SUM(F100*$K$9+F100)+((F100*$K$9+F100)*$L$9)</f>
        <v>0</v>
      </c>
      <c r="L100" s="614">
        <f>SUM(G100*$L$9+G100)</f>
        <v>0</v>
      </c>
      <c r="M100" s="615">
        <f>(J100+K100+L100)/3</f>
        <v>7160.80257858168</v>
      </c>
      <c r="N100" s="614">
        <f>SUM(M100*$N$9+'VLR 2012 a 2018 ATUALIZ média'!M100)</f>
        <v>7602.624097680169</v>
      </c>
      <c r="O100" s="786">
        <v>400</v>
      </c>
      <c r="P100" s="614">
        <v>0</v>
      </c>
      <c r="Q100" s="614">
        <v>0</v>
      </c>
    </row>
    <row r="101" spans="2:17" s="623" customFormat="1" ht="12.75" customHeight="1">
      <c r="B101" s="638" t="s">
        <v>61</v>
      </c>
      <c r="C101" s="611">
        <v>0</v>
      </c>
      <c r="D101" s="583">
        <v>91</v>
      </c>
      <c r="E101" s="617">
        <v>15190</v>
      </c>
      <c r="F101" s="617">
        <v>0</v>
      </c>
      <c r="G101" s="617">
        <v>0</v>
      </c>
      <c r="H101" s="617">
        <v>2000</v>
      </c>
      <c r="I101" s="617">
        <v>0</v>
      </c>
      <c r="J101" s="613">
        <f>SUM(((E101*$J$9+E101)+((E101*$J$9+E101)*$K$9))*$L$9)+(E101*$J$9+E101)+((E101*$J$9+E101)*$K$9)</f>
        <v>18118.69925074776</v>
      </c>
      <c r="K101" s="614">
        <f>SUM(F101*$K$9+F101)+((F101*$K$9+F101)*$L$9)</f>
        <v>0</v>
      </c>
      <c r="L101" s="614">
        <f>SUM(G101*$L$9+G101)</f>
        <v>0</v>
      </c>
      <c r="M101" s="615">
        <f>(J101+K101+L101)/3</f>
        <v>6039.56641691592</v>
      </c>
      <c r="N101" s="614">
        <f>SUM(M101*$N$9+'VLR 2012 a 2018 ATUALIZ média'!M101)</f>
        <v>6412.207664839632</v>
      </c>
      <c r="O101" s="786">
        <v>400</v>
      </c>
      <c r="P101" s="614">
        <v>0</v>
      </c>
      <c r="Q101" s="614">
        <v>0</v>
      </c>
    </row>
    <row r="102" spans="2:17" s="623" customFormat="1" ht="12.75" customHeight="1">
      <c r="B102" s="638" t="s">
        <v>63</v>
      </c>
      <c r="C102" s="611">
        <v>0</v>
      </c>
      <c r="D102" s="583">
        <v>92</v>
      </c>
      <c r="E102" s="617">
        <v>0</v>
      </c>
      <c r="F102" s="617">
        <v>0</v>
      </c>
      <c r="G102" s="617">
        <v>0</v>
      </c>
      <c r="H102" s="617">
        <v>0</v>
      </c>
      <c r="I102" s="617">
        <v>0</v>
      </c>
      <c r="J102" s="613">
        <f>SUM(((E102*$J$9+E102)+((E102*$J$9+E102)*$K$9))*$L$9)+(E102*$J$9+E102)+((E102*$J$9+E102)*$K$9)</f>
        <v>0</v>
      </c>
      <c r="K102" s="614">
        <f>SUM(F102*$K$9+F102)+((F102*$K$9+F102)*$L$9)</f>
        <v>0</v>
      </c>
      <c r="L102" s="614">
        <f>SUM(G102*$L$9+G102)</f>
        <v>0</v>
      </c>
      <c r="M102" s="615">
        <f>(J102+K102+L102)/3</f>
        <v>0</v>
      </c>
      <c r="N102" s="614">
        <f>SUM(M102*$N$9+'VLR 2012 a 2018 ATUALIZ média'!M102)</f>
        <v>0</v>
      </c>
      <c r="O102" s="786">
        <v>200</v>
      </c>
      <c r="P102" s="614">
        <v>0</v>
      </c>
      <c r="Q102" s="614">
        <v>0</v>
      </c>
    </row>
    <row r="103" spans="2:17" s="605" customFormat="1" ht="15" customHeight="1">
      <c r="B103" s="638" t="s">
        <v>62</v>
      </c>
      <c r="C103" s="611">
        <v>0</v>
      </c>
      <c r="D103" s="583">
        <v>93</v>
      </c>
      <c r="E103" s="617">
        <v>45</v>
      </c>
      <c r="F103" s="617">
        <v>0</v>
      </c>
      <c r="G103" s="617">
        <v>0</v>
      </c>
      <c r="H103" s="617">
        <v>10000</v>
      </c>
      <c r="I103" s="617">
        <v>0</v>
      </c>
      <c r="J103" s="613">
        <f>SUM(((E103*$J$9+E103)+((E103*$J$9+E103)*$K$9))*$L$9)+(E103*$J$9+E103)+((E103*$J$9+E103)*$K$9)</f>
        <v>53.67619922868</v>
      </c>
      <c r="K103" s="614">
        <f>SUM(F103*$K$9+F103)+((F103*$K$9+F103)*$L$9)</f>
        <v>0</v>
      </c>
      <c r="L103" s="614">
        <f>SUM(G103*$L$9+G103)</f>
        <v>0</v>
      </c>
      <c r="M103" s="615">
        <f>(J103+K103+L103)/3</f>
        <v>17.892066409559998</v>
      </c>
      <c r="N103" s="614">
        <f>SUM(M103*$N$9+'VLR 2012 a 2018 ATUALIZ média'!M103)</f>
        <v>18.99600690702985</v>
      </c>
      <c r="O103" s="786">
        <v>24000</v>
      </c>
      <c r="P103" s="614">
        <v>0</v>
      </c>
      <c r="Q103" s="614">
        <v>0</v>
      </c>
    </row>
    <row r="104" spans="2:17" s="605" customFormat="1" ht="15" customHeight="1">
      <c r="B104" s="606" t="s">
        <v>197</v>
      </c>
      <c r="C104" s="607">
        <v>0</v>
      </c>
      <c r="D104" s="583">
        <v>94</v>
      </c>
      <c r="E104" s="627">
        <v>0</v>
      </c>
      <c r="F104" s="627">
        <v>0</v>
      </c>
      <c r="G104" s="627">
        <v>0</v>
      </c>
      <c r="H104" s="627">
        <v>0</v>
      </c>
      <c r="I104" s="627">
        <v>0</v>
      </c>
      <c r="J104" s="628">
        <f>SUM(((E104*$J$9+E104)+((E104*$J$9+E104)*$K$9))*$L$9)+(E104*$J$9+E104)+((E104*$J$9+E104)*$K$9)</f>
        <v>0</v>
      </c>
      <c r="K104" s="629">
        <f>SUM(F104*$K$9+F104)+((F104*$K$9+F104)*$L$9)</f>
        <v>0</v>
      </c>
      <c r="L104" s="629">
        <f>SUM(G104*$L$9+G104)</f>
        <v>0</v>
      </c>
      <c r="M104" s="629">
        <f t="shared" si="36"/>
        <v>0</v>
      </c>
      <c r="N104" s="629">
        <f>SUM(J104*$K$9+J104)+((J104*$K$9+J104)*$L$9)</f>
        <v>0</v>
      </c>
      <c r="O104" s="629">
        <f>SUM(J104*$L$9+J104)</f>
        <v>0</v>
      </c>
      <c r="P104" s="629">
        <f>SUM(K104*$L$9+K104)</f>
        <v>0</v>
      </c>
      <c r="Q104" s="629">
        <f>(M104+N104+P104)/3</f>
        <v>0</v>
      </c>
    </row>
    <row r="105" spans="2:17" s="605" customFormat="1" ht="15" customHeight="1">
      <c r="B105" s="606" t="s">
        <v>112</v>
      </c>
      <c r="C105" s="607" t="s">
        <v>328</v>
      </c>
      <c r="D105" s="583">
        <v>95</v>
      </c>
      <c r="E105" s="608">
        <f aca="true" t="shared" si="40" ref="E105:Q105">+E106+E107+E128</f>
        <v>1140616.08</v>
      </c>
      <c r="F105" s="608">
        <f t="shared" si="40"/>
        <v>1401680.21</v>
      </c>
      <c r="G105" s="608">
        <f t="shared" si="40"/>
        <v>515526.17000000004</v>
      </c>
      <c r="H105" s="608">
        <f t="shared" si="40"/>
        <v>1387000</v>
      </c>
      <c r="I105" s="608">
        <f t="shared" si="40"/>
        <v>97500</v>
      </c>
      <c r="J105" s="608">
        <f t="shared" si="40"/>
        <v>1360531.9100781335</v>
      </c>
      <c r="K105" s="608">
        <f t="shared" si="40"/>
        <v>1579677.2110283454</v>
      </c>
      <c r="L105" s="608">
        <f t="shared" si="40"/>
        <v>548571.3974969999</v>
      </c>
      <c r="M105" s="608">
        <f t="shared" si="40"/>
        <v>1162926.8395344927</v>
      </c>
      <c r="N105" s="608">
        <f t="shared" si="40"/>
        <v>1087500.307719865</v>
      </c>
      <c r="O105" s="770">
        <f t="shared" si="40"/>
        <v>478420</v>
      </c>
      <c r="P105" s="608">
        <f t="shared" si="40"/>
        <v>0</v>
      </c>
      <c r="Q105" s="608">
        <f t="shared" si="40"/>
        <v>0</v>
      </c>
    </row>
    <row r="106" spans="2:17" ht="15" customHeight="1">
      <c r="B106" s="609" t="s">
        <v>217</v>
      </c>
      <c r="C106" s="611">
        <v>0</v>
      </c>
      <c r="D106" s="583">
        <v>96</v>
      </c>
      <c r="E106" s="612">
        <v>0</v>
      </c>
      <c r="F106" s="612">
        <v>0</v>
      </c>
      <c r="G106" s="612">
        <v>0</v>
      </c>
      <c r="H106" s="612">
        <v>0</v>
      </c>
      <c r="I106" s="612">
        <v>0</v>
      </c>
      <c r="J106" s="613">
        <f>SUM(((E106*$J$9+E106)+((E106*$J$9+E106)*$K$9))*$L$9)+(E106*$J$9+E106)+((E106*$J$9+E106)*$K$9)</f>
        <v>0</v>
      </c>
      <c r="K106" s="614">
        <f>SUM(F106*$K$9+F106)+((F106*$K$9+F106)*$L$9)</f>
        <v>0</v>
      </c>
      <c r="L106" s="614">
        <f>SUM(G106*$L$9+G106)</f>
        <v>0</v>
      </c>
      <c r="M106" s="615">
        <f t="shared" si="36"/>
        <v>0</v>
      </c>
      <c r="N106" s="614">
        <f>SUM(M106*'TAB. P - PARÂMETROS'!$E$11+'VLR 2012 a 2018 ATUALIZ média'!M106)</f>
        <v>0</v>
      </c>
      <c r="O106" s="614">
        <v>0</v>
      </c>
      <c r="P106" s="614">
        <f>SUM(K106*$L$9+K106)</f>
        <v>0</v>
      </c>
      <c r="Q106" s="615">
        <v>0</v>
      </c>
    </row>
    <row r="107" spans="2:17" ht="15" customHeight="1">
      <c r="B107" s="648" t="s">
        <v>175</v>
      </c>
      <c r="C107" s="634" t="s">
        <v>329</v>
      </c>
      <c r="D107" s="583">
        <v>97</v>
      </c>
      <c r="E107" s="632">
        <f aca="true" t="shared" si="41" ref="E107:N107">SUM(E108:E127)</f>
        <v>1140616.08</v>
      </c>
      <c r="F107" s="632">
        <f t="shared" si="41"/>
        <v>1401680.21</v>
      </c>
      <c r="G107" s="632">
        <f t="shared" si="41"/>
        <v>515526.17000000004</v>
      </c>
      <c r="H107" s="632">
        <f t="shared" si="41"/>
        <v>1387000</v>
      </c>
      <c r="I107" s="632">
        <f t="shared" si="41"/>
        <v>97500</v>
      </c>
      <c r="J107" s="632">
        <f t="shared" si="41"/>
        <v>1360531.9100781335</v>
      </c>
      <c r="K107" s="632">
        <f t="shared" si="41"/>
        <v>1579677.2110283454</v>
      </c>
      <c r="L107" s="632">
        <f t="shared" si="41"/>
        <v>548571.3974969999</v>
      </c>
      <c r="M107" s="632">
        <f t="shared" si="41"/>
        <v>1162926.8395344927</v>
      </c>
      <c r="N107" s="632">
        <f t="shared" si="41"/>
        <v>1087500.307719865</v>
      </c>
      <c r="O107" s="771">
        <f>SUM(O108:O130)</f>
        <v>478420</v>
      </c>
      <c r="P107" s="632">
        <f>SUM(P108:P130)</f>
        <v>0</v>
      </c>
      <c r="Q107" s="632">
        <f>SUM(Q108:Q130)</f>
        <v>0</v>
      </c>
    </row>
    <row r="108" spans="2:17" ht="15" customHeight="1">
      <c r="B108" s="776" t="s">
        <v>223</v>
      </c>
      <c r="C108" s="611">
        <v>0</v>
      </c>
      <c r="D108" s="583">
        <v>98</v>
      </c>
      <c r="E108" s="649">
        <v>0</v>
      </c>
      <c r="F108" s="649">
        <v>60000</v>
      </c>
      <c r="G108" s="649">
        <v>0</v>
      </c>
      <c r="H108" s="649">
        <v>220000</v>
      </c>
      <c r="I108" s="649">
        <v>0</v>
      </c>
      <c r="J108" s="613">
        <f aca="true" t="shared" si="42" ref="J108:J120">SUM(((E108*$J$9+E108)+((E108*$J$9+E108)*$K$9))*$L$9)+(E108*$J$9+E108)+((E108*$J$9+E108)*$K$9)</f>
        <v>0</v>
      </c>
      <c r="K108" s="614">
        <f aca="true" t="shared" si="43" ref="K108:K120">SUM(F108*$K$9+F108)+((F108*$K$9+F108)*$L$9)</f>
        <v>67619.2986</v>
      </c>
      <c r="L108" s="614">
        <f aca="true" t="shared" si="44" ref="L108:L120">SUM(G108*$L$9+G108)</f>
        <v>0</v>
      </c>
      <c r="M108" s="615">
        <f aca="true" t="shared" si="45" ref="M108:M118">(J108+K108+L108)/3</f>
        <v>22539.7662</v>
      </c>
      <c r="N108" s="614">
        <f>SUM(M108*'TAB. P - PARÂMETROS'!$E$11+'VLR 2012 a 2018 ATUALIZ média'!M108)</f>
        <v>23806.501060439998</v>
      </c>
      <c r="O108" s="614">
        <v>0</v>
      </c>
      <c r="P108" s="614">
        <v>0</v>
      </c>
      <c r="Q108" s="614">
        <v>0</v>
      </c>
    </row>
    <row r="109" spans="2:17" ht="15" customHeight="1">
      <c r="B109" s="776" t="s">
        <v>440</v>
      </c>
      <c r="C109" s="611">
        <v>0</v>
      </c>
      <c r="D109" s="583">
        <v>99</v>
      </c>
      <c r="E109" s="649">
        <v>0</v>
      </c>
      <c r="F109" s="649">
        <v>100000</v>
      </c>
      <c r="G109" s="649">
        <v>0</v>
      </c>
      <c r="H109" s="649">
        <v>0</v>
      </c>
      <c r="I109" s="649">
        <v>0</v>
      </c>
      <c r="J109" s="613">
        <f t="shared" si="42"/>
        <v>0</v>
      </c>
      <c r="K109" s="614">
        <f t="shared" si="43"/>
        <v>112698.831</v>
      </c>
      <c r="L109" s="614">
        <f t="shared" si="44"/>
        <v>0</v>
      </c>
      <c r="M109" s="615">
        <f t="shared" si="45"/>
        <v>37566.277</v>
      </c>
      <c r="N109" s="614">
        <f>SUM(M109*'TAB. P - PARÂMETROS'!$E$11+'VLR 2012 a 2018 ATUALIZ média'!M109)</f>
        <v>39677.501767400005</v>
      </c>
      <c r="O109" s="614">
        <v>0</v>
      </c>
      <c r="P109" s="614">
        <v>0</v>
      </c>
      <c r="Q109" s="614">
        <v>0</v>
      </c>
    </row>
    <row r="110" spans="2:17" ht="15" customHeight="1">
      <c r="B110" s="776" t="s">
        <v>441</v>
      </c>
      <c r="C110" s="611">
        <v>0</v>
      </c>
      <c r="D110" s="583">
        <v>100</v>
      </c>
      <c r="E110" s="612">
        <v>0</v>
      </c>
      <c r="F110" s="612">
        <v>100000</v>
      </c>
      <c r="G110" s="612">
        <v>0</v>
      </c>
      <c r="H110" s="612">
        <v>0</v>
      </c>
      <c r="I110" s="612">
        <v>0</v>
      </c>
      <c r="J110" s="613">
        <f t="shared" si="42"/>
        <v>0</v>
      </c>
      <c r="K110" s="614">
        <f t="shared" si="43"/>
        <v>112698.831</v>
      </c>
      <c r="L110" s="614">
        <f t="shared" si="44"/>
        <v>0</v>
      </c>
      <c r="M110" s="615">
        <f t="shared" si="45"/>
        <v>37566.277</v>
      </c>
      <c r="N110" s="614">
        <f>SUM(M110*'TAB. P - PARÂMETROS'!$E$11+'VLR 2012 a 2018 ATUALIZ média'!M110)</f>
        <v>39677.501767400005</v>
      </c>
      <c r="O110" s="614">
        <v>0</v>
      </c>
      <c r="P110" s="614">
        <v>0</v>
      </c>
      <c r="Q110" s="614">
        <v>0</v>
      </c>
    </row>
    <row r="111" spans="2:17" ht="15" customHeight="1">
      <c r="B111" s="776" t="s">
        <v>442</v>
      </c>
      <c r="C111" s="611">
        <v>0</v>
      </c>
      <c r="D111" s="583">
        <v>101</v>
      </c>
      <c r="E111" s="612">
        <v>0</v>
      </c>
      <c r="F111" s="612">
        <v>0</v>
      </c>
      <c r="G111" s="612">
        <v>20000</v>
      </c>
      <c r="H111" s="612">
        <v>0</v>
      </c>
      <c r="I111" s="612">
        <v>0</v>
      </c>
      <c r="J111" s="613">
        <f t="shared" si="42"/>
        <v>0</v>
      </c>
      <c r="K111" s="614">
        <f t="shared" si="43"/>
        <v>0</v>
      </c>
      <c r="L111" s="614">
        <f t="shared" si="44"/>
        <v>21282</v>
      </c>
      <c r="M111" s="615">
        <f t="shared" si="45"/>
        <v>7094</v>
      </c>
      <c r="N111" s="614">
        <f>SUM(M111*'TAB. P - PARÂMETROS'!$E$11+'VLR 2012 a 2018 ATUALIZ média'!M111)</f>
        <v>7492.6828</v>
      </c>
      <c r="O111" s="614">
        <v>0</v>
      </c>
      <c r="P111" s="614">
        <v>0</v>
      </c>
      <c r="Q111" s="614">
        <v>0</v>
      </c>
    </row>
    <row r="112" spans="2:17" ht="15" customHeight="1">
      <c r="B112" s="776" t="s">
        <v>395</v>
      </c>
      <c r="C112" s="611">
        <v>0</v>
      </c>
      <c r="D112" s="583">
        <v>102</v>
      </c>
      <c r="E112" s="612">
        <v>0</v>
      </c>
      <c r="F112" s="612">
        <v>196400</v>
      </c>
      <c r="G112" s="612">
        <v>0</v>
      </c>
      <c r="H112" s="612">
        <v>0</v>
      </c>
      <c r="I112" s="612">
        <v>0</v>
      </c>
      <c r="J112" s="613">
        <f t="shared" si="42"/>
        <v>0</v>
      </c>
      <c r="K112" s="614">
        <f t="shared" si="43"/>
        <v>221340.504084</v>
      </c>
      <c r="L112" s="614">
        <f t="shared" si="44"/>
        <v>0</v>
      </c>
      <c r="M112" s="615">
        <f t="shared" si="45"/>
        <v>73780.168028</v>
      </c>
      <c r="N112" s="614">
        <f>SUM(M112*'TAB. P - PARÂMETROS'!$E$11+'VLR 2012 a 2018 ATUALIZ média'!M112)</f>
        <v>77926.6134711736</v>
      </c>
      <c r="O112" s="614">
        <v>0</v>
      </c>
      <c r="P112" s="614">
        <v>0</v>
      </c>
      <c r="Q112" s="614">
        <v>0</v>
      </c>
    </row>
    <row r="113" spans="2:17" ht="15" customHeight="1">
      <c r="B113" s="776" t="s">
        <v>74</v>
      </c>
      <c r="C113" s="611">
        <v>0</v>
      </c>
      <c r="D113" s="583">
        <v>103</v>
      </c>
      <c r="E113" s="612">
        <v>4114.6</v>
      </c>
      <c r="F113" s="612">
        <v>142835.4</v>
      </c>
      <c r="G113" s="612">
        <v>0</v>
      </c>
      <c r="H113" s="612">
        <v>0</v>
      </c>
      <c r="I113" s="612">
        <v>0</v>
      </c>
      <c r="J113" s="613">
        <f t="shared" si="42"/>
        <v>4907.913096585039</v>
      </c>
      <c r="K113" s="614">
        <f t="shared" si="43"/>
        <v>160973.826054174</v>
      </c>
      <c r="L113" s="614">
        <f t="shared" si="44"/>
        <v>0</v>
      </c>
      <c r="M113" s="615">
        <f t="shared" si="45"/>
        <v>55293.91305025301</v>
      </c>
      <c r="N113" s="614">
        <f>SUM(M113*'TAB. P - PARÂMETROS'!$E$11+'VLR 2012 a 2018 ATUALIZ média'!M113)</f>
        <v>58401.43096367723</v>
      </c>
      <c r="O113" s="614">
        <v>0</v>
      </c>
      <c r="P113" s="614">
        <v>0</v>
      </c>
      <c r="Q113" s="614">
        <v>0</v>
      </c>
    </row>
    <row r="114" spans="2:17" ht="15" customHeight="1">
      <c r="B114" s="776" t="s">
        <v>75</v>
      </c>
      <c r="C114" s="611">
        <v>0</v>
      </c>
      <c r="D114" s="583">
        <v>104</v>
      </c>
      <c r="E114" s="612">
        <v>12579.42</v>
      </c>
      <c r="F114" s="612">
        <v>85620.58</v>
      </c>
      <c r="G114" s="612">
        <v>0</v>
      </c>
      <c r="H114" s="612">
        <v>0</v>
      </c>
      <c r="I114" s="612">
        <v>0</v>
      </c>
      <c r="J114" s="613">
        <f t="shared" si="42"/>
        <v>15004.787868916485</v>
      </c>
      <c r="K114" s="614">
        <f t="shared" si="43"/>
        <v>96493.3927554198</v>
      </c>
      <c r="L114" s="614">
        <f t="shared" si="44"/>
        <v>0</v>
      </c>
      <c r="M114" s="615">
        <f t="shared" si="45"/>
        <v>37166.060208112096</v>
      </c>
      <c r="N114" s="614">
        <f>SUM(M114*'TAB. P - PARÂMETROS'!$E$11+'VLR 2012 a 2018 ATUALIZ média'!M114)</f>
        <v>39254.792791807995</v>
      </c>
      <c r="O114" s="614">
        <v>0</v>
      </c>
      <c r="P114" s="614">
        <v>0</v>
      </c>
      <c r="Q114" s="614">
        <v>0</v>
      </c>
    </row>
    <row r="115" spans="2:17" ht="15" customHeight="1">
      <c r="B115" s="776" t="s">
        <v>76</v>
      </c>
      <c r="C115" s="611">
        <v>0</v>
      </c>
      <c r="D115" s="583">
        <v>105</v>
      </c>
      <c r="E115" s="612">
        <v>9751.26</v>
      </c>
      <c r="F115" s="612">
        <v>88448.74</v>
      </c>
      <c r="G115" s="612">
        <v>0</v>
      </c>
      <c r="H115" s="612">
        <v>0</v>
      </c>
      <c r="I115" s="612">
        <v>0</v>
      </c>
      <c r="J115" s="613">
        <f t="shared" si="42"/>
        <v>11631.346099792401</v>
      </c>
      <c r="K115" s="614">
        <f t="shared" si="43"/>
        <v>99680.69601422941</v>
      </c>
      <c r="L115" s="614">
        <f t="shared" si="44"/>
        <v>0</v>
      </c>
      <c r="M115" s="615">
        <f t="shared" si="45"/>
        <v>37104.01403800727</v>
      </c>
      <c r="N115" s="614">
        <f>SUM(M115*'TAB. P - PARÂMETROS'!$E$11+'VLR 2012 a 2018 ATUALIZ média'!M115)</f>
        <v>39189.259626943276</v>
      </c>
      <c r="O115" s="614">
        <v>0</v>
      </c>
      <c r="P115" s="614">
        <v>0</v>
      </c>
      <c r="Q115" s="614">
        <v>0</v>
      </c>
    </row>
    <row r="116" spans="2:17" ht="15" customHeight="1">
      <c r="B116" s="776" t="s">
        <v>394</v>
      </c>
      <c r="C116" s="611">
        <v>0</v>
      </c>
      <c r="D116" s="583">
        <v>106</v>
      </c>
      <c r="E116" s="612">
        <v>639540.8</v>
      </c>
      <c r="F116" s="612">
        <v>0</v>
      </c>
      <c r="G116" s="612">
        <v>0</v>
      </c>
      <c r="H116" s="612">
        <v>0</v>
      </c>
      <c r="I116" s="612">
        <v>0</v>
      </c>
      <c r="J116" s="613">
        <f t="shared" si="42"/>
        <v>762847.097681542</v>
      </c>
      <c r="K116" s="614">
        <f t="shared" si="43"/>
        <v>0</v>
      </c>
      <c r="L116" s="614">
        <f t="shared" si="44"/>
        <v>0</v>
      </c>
      <c r="M116" s="615">
        <f t="shared" si="45"/>
        <v>254282.36589384734</v>
      </c>
      <c r="N116" s="614">
        <f>SUM(M116*'TAB. P - PARÂMETROS'!$E$11+'VLR 2012 a 2018 ATUALIZ média'!M116)</f>
        <v>268573.03485708154</v>
      </c>
      <c r="O116" s="614">
        <v>0</v>
      </c>
      <c r="P116" s="614">
        <v>0</v>
      </c>
      <c r="Q116" s="614">
        <v>0</v>
      </c>
    </row>
    <row r="117" spans="2:17" ht="15" customHeight="1">
      <c r="B117" s="776" t="s">
        <v>1043</v>
      </c>
      <c r="C117" s="611">
        <v>0</v>
      </c>
      <c r="D117" s="583">
        <v>107</v>
      </c>
      <c r="E117" s="612">
        <v>338130</v>
      </c>
      <c r="F117" s="612">
        <v>591435</v>
      </c>
      <c r="G117" s="612">
        <v>0</v>
      </c>
      <c r="H117" s="612">
        <v>0</v>
      </c>
      <c r="I117" s="612">
        <v>0</v>
      </c>
      <c r="J117" s="613">
        <f t="shared" si="42"/>
        <v>403322.96100430156</v>
      </c>
      <c r="K117" s="614">
        <f t="shared" si="43"/>
        <v>666540.3311248501</v>
      </c>
      <c r="L117" s="614">
        <f t="shared" si="44"/>
        <v>0</v>
      </c>
      <c r="M117" s="615">
        <f t="shared" si="45"/>
        <v>356621.09737638384</v>
      </c>
      <c r="N117" s="614">
        <f>SUM(M117*'TAB. P - PARÂMETROS'!$E$11+'VLR 2012 a 2018 ATUALIZ média'!M117)</f>
        <v>376663.2030489366</v>
      </c>
      <c r="O117" s="614">
        <v>0</v>
      </c>
      <c r="P117" s="614">
        <v>0</v>
      </c>
      <c r="Q117" s="614">
        <v>0</v>
      </c>
    </row>
    <row r="118" spans="2:17" ht="15" customHeight="1">
      <c r="B118" s="776" t="s">
        <v>77</v>
      </c>
      <c r="C118" s="611">
        <v>0</v>
      </c>
      <c r="D118" s="583">
        <v>108</v>
      </c>
      <c r="E118" s="612">
        <v>97500</v>
      </c>
      <c r="F118" s="612">
        <v>0</v>
      </c>
      <c r="G118" s="612">
        <v>0</v>
      </c>
      <c r="H118" s="612">
        <v>0</v>
      </c>
      <c r="I118" s="612">
        <v>0</v>
      </c>
      <c r="J118" s="613">
        <f t="shared" si="42"/>
        <v>116298.43166214</v>
      </c>
      <c r="K118" s="614">
        <f t="shared" si="43"/>
        <v>0</v>
      </c>
      <c r="L118" s="614">
        <f t="shared" si="44"/>
        <v>0</v>
      </c>
      <c r="M118" s="615">
        <f t="shared" si="45"/>
        <v>38766.14388738</v>
      </c>
      <c r="N118" s="614">
        <f>SUM(M118*'TAB. P - PARÂMETROS'!$E$11+'VLR 2012 a 2018 ATUALIZ média'!M118)</f>
        <v>40944.801173850756</v>
      </c>
      <c r="O118" s="614">
        <v>250000</v>
      </c>
      <c r="P118" s="614">
        <v>0</v>
      </c>
      <c r="Q118" s="614">
        <v>0</v>
      </c>
    </row>
    <row r="119" spans="2:17" ht="15" customHeight="1">
      <c r="B119" s="776" t="s">
        <v>1039</v>
      </c>
      <c r="C119" s="611">
        <v>0</v>
      </c>
      <c r="D119" s="583">
        <v>109</v>
      </c>
      <c r="E119" s="612">
        <v>0</v>
      </c>
      <c r="F119" s="612">
        <v>36940.49</v>
      </c>
      <c r="G119" s="612">
        <v>147761.94</v>
      </c>
      <c r="H119" s="612">
        <v>0</v>
      </c>
      <c r="I119" s="612">
        <v>0</v>
      </c>
      <c r="J119" s="613">
        <f t="shared" si="42"/>
        <v>0</v>
      </c>
      <c r="K119" s="614">
        <f t="shared" si="43"/>
        <v>41631.500395671894</v>
      </c>
      <c r="L119" s="614">
        <f t="shared" si="44"/>
        <v>157233.480354</v>
      </c>
      <c r="M119" s="615">
        <f>(J119+K119+L119)/3</f>
        <v>66288.3269165573</v>
      </c>
      <c r="N119" s="614">
        <f>SUM(M119*'TAB. P - PARÂMETROS'!$E$11+'VLR 2012 a 2018 ATUALIZ média'!M119)</f>
        <v>70013.73088926783</v>
      </c>
      <c r="O119" s="614">
        <v>0</v>
      </c>
      <c r="P119" s="614">
        <v>0</v>
      </c>
      <c r="Q119" s="614">
        <v>0</v>
      </c>
    </row>
    <row r="120" spans="2:17" ht="15" customHeight="1">
      <c r="B120" s="776" t="s">
        <v>78</v>
      </c>
      <c r="C120" s="611">
        <v>0</v>
      </c>
      <c r="D120" s="583">
        <v>110</v>
      </c>
      <c r="E120" s="612">
        <v>25000</v>
      </c>
      <c r="F120" s="612">
        <v>0</v>
      </c>
      <c r="G120" s="612">
        <v>0</v>
      </c>
      <c r="H120" s="612">
        <v>0</v>
      </c>
      <c r="I120" s="612">
        <v>0</v>
      </c>
      <c r="J120" s="613">
        <f t="shared" si="42"/>
        <v>29820.1106826</v>
      </c>
      <c r="K120" s="614">
        <f t="shared" si="43"/>
        <v>0</v>
      </c>
      <c r="L120" s="614">
        <f t="shared" si="44"/>
        <v>0</v>
      </c>
      <c r="M120" s="615">
        <f>(J120+K120+L120)/3</f>
        <v>9940.0368942</v>
      </c>
      <c r="N120" s="614">
        <v>0</v>
      </c>
      <c r="O120" s="614">
        <v>11000</v>
      </c>
      <c r="P120" s="614">
        <v>0</v>
      </c>
      <c r="Q120" s="614">
        <v>0</v>
      </c>
    </row>
    <row r="121" spans="2:17" ht="15" customHeight="1">
      <c r="B121" s="776" t="s">
        <v>79</v>
      </c>
      <c r="C121" s="611">
        <v>0</v>
      </c>
      <c r="D121" s="583">
        <v>111</v>
      </c>
      <c r="E121" s="612">
        <v>14000</v>
      </c>
      <c r="F121" s="612">
        <v>0</v>
      </c>
      <c r="G121" s="612">
        <v>0</v>
      </c>
      <c r="H121" s="612">
        <v>0</v>
      </c>
      <c r="I121" s="612">
        <v>0</v>
      </c>
      <c r="J121" s="613">
        <f>SUM(((E121*$J$9+E121)+((E121*$J$9+E121)*$K$9))*$L$9)+(E121*$J$9+E121)+((E121*$J$9+E121)*$K$9)</f>
        <v>16699.261982256</v>
      </c>
      <c r="K121" s="614">
        <f>SUM(F121*$K$9+F121)+((F121*$K$9+F121)*$L$9)</f>
        <v>0</v>
      </c>
      <c r="L121" s="614">
        <f>SUM(G121*$L$9+G121)</f>
        <v>0</v>
      </c>
      <c r="M121" s="615">
        <f aca="true" t="shared" si="46" ref="M121:M129">(J121+K121+L121)/3</f>
        <v>5566.420660752</v>
      </c>
      <c r="N121" s="614">
        <f>SUM(M121*'TAB. P - PARÂMETROS'!$E$11+'VLR 2012 a 2018 ATUALIZ média'!M121)</f>
        <v>5879.253501886263</v>
      </c>
      <c r="O121" s="614">
        <v>0</v>
      </c>
      <c r="P121" s="614">
        <v>0</v>
      </c>
      <c r="Q121" s="614">
        <v>0</v>
      </c>
    </row>
    <row r="122" spans="2:17" ht="15" customHeight="1">
      <c r="B122" s="776" t="s">
        <v>1092</v>
      </c>
      <c r="C122" s="611">
        <v>0</v>
      </c>
      <c r="D122" s="583">
        <v>112</v>
      </c>
      <c r="E122" s="612"/>
      <c r="F122" s="612"/>
      <c r="G122" s="612"/>
      <c r="H122" s="612"/>
      <c r="I122" s="612">
        <v>0</v>
      </c>
      <c r="J122" s="613"/>
      <c r="K122" s="614"/>
      <c r="L122" s="614"/>
      <c r="M122" s="615"/>
      <c r="N122" s="614"/>
      <c r="O122" s="614">
        <v>20000</v>
      </c>
      <c r="P122" s="614"/>
      <c r="Q122" s="614"/>
    </row>
    <row r="123" spans="2:17" ht="15" customHeight="1">
      <c r="B123" s="776" t="s">
        <v>1066</v>
      </c>
      <c r="C123" s="611">
        <v>0</v>
      </c>
      <c r="D123" s="583">
        <v>113</v>
      </c>
      <c r="E123" s="612">
        <v>0</v>
      </c>
      <c r="F123" s="612">
        <v>0</v>
      </c>
      <c r="G123" s="612">
        <v>0</v>
      </c>
      <c r="H123" s="612">
        <v>97500</v>
      </c>
      <c r="I123" s="612">
        <v>0</v>
      </c>
      <c r="J123" s="613">
        <f>SUM(((E123*$J$9+E123)+((E123*$J$9+E123)*$K$9))*$L$9)+(E123*$J$9+E123)+((E123*$J$9+E123)*$K$9)</f>
        <v>0</v>
      </c>
      <c r="K123" s="614">
        <f>SUM(F123*$K$9+F123)+((F123*$K$9+F123)*$L$9)</f>
        <v>0</v>
      </c>
      <c r="L123" s="614">
        <f>SUM(G123*$L$9+G123)</f>
        <v>0</v>
      </c>
      <c r="M123" s="615">
        <f t="shared" si="46"/>
        <v>0</v>
      </c>
      <c r="N123" s="614">
        <v>0</v>
      </c>
      <c r="O123" s="614">
        <v>0</v>
      </c>
      <c r="P123" s="614">
        <v>0</v>
      </c>
      <c r="Q123" s="614">
        <v>0</v>
      </c>
    </row>
    <row r="124" spans="2:17" ht="15" customHeight="1">
      <c r="B124" s="776" t="s">
        <v>1067</v>
      </c>
      <c r="C124" s="611">
        <v>0</v>
      </c>
      <c r="D124" s="583">
        <v>114</v>
      </c>
      <c r="E124" s="612">
        <v>0</v>
      </c>
      <c r="F124" s="612">
        <v>0</v>
      </c>
      <c r="G124" s="612">
        <v>146250</v>
      </c>
      <c r="H124" s="612">
        <v>117000</v>
      </c>
      <c r="I124" s="612">
        <v>97500</v>
      </c>
      <c r="J124" s="613">
        <f aca="true" t="shared" si="47" ref="J124:J129">SUM(((E124*$J$9+E124)+((E124*$J$9+E124)*$K$9))*$L$9)+(E124*$J$9+E124)+((E124*$J$9+E124)*$K$9)</f>
        <v>0</v>
      </c>
      <c r="K124" s="614">
        <f aca="true" t="shared" si="48" ref="K124:K129">SUM(F124*$K$9+F124)+((F124*$K$9+F124)*$L$9)</f>
        <v>0</v>
      </c>
      <c r="L124" s="614">
        <f aca="true" t="shared" si="49" ref="L124:L129">SUM(G124*$L$9+G124)</f>
        <v>155624.625</v>
      </c>
      <c r="M124" s="615">
        <f t="shared" si="46"/>
        <v>51874.875</v>
      </c>
      <c r="N124" s="614">
        <v>0</v>
      </c>
      <c r="O124" s="614">
        <v>0</v>
      </c>
      <c r="P124" s="614">
        <v>0</v>
      </c>
      <c r="Q124" s="614">
        <v>0</v>
      </c>
    </row>
    <row r="125" spans="2:17" ht="15" customHeight="1">
      <c r="B125" s="776" t="s">
        <v>1068</v>
      </c>
      <c r="C125" s="611">
        <v>0</v>
      </c>
      <c r="D125" s="583">
        <v>115</v>
      </c>
      <c r="E125" s="612">
        <v>0</v>
      </c>
      <c r="F125" s="612">
        <v>0</v>
      </c>
      <c r="G125" s="612">
        <v>201514.23</v>
      </c>
      <c r="H125" s="612">
        <v>805300</v>
      </c>
      <c r="I125" s="612">
        <v>0</v>
      </c>
      <c r="J125" s="613">
        <f t="shared" si="47"/>
        <v>0</v>
      </c>
      <c r="K125" s="614">
        <f t="shared" si="48"/>
        <v>0</v>
      </c>
      <c r="L125" s="614">
        <f t="shared" si="49"/>
        <v>214431.292143</v>
      </c>
      <c r="M125" s="615">
        <f t="shared" si="46"/>
        <v>71477.097381</v>
      </c>
      <c r="N125" s="614">
        <v>0</v>
      </c>
      <c r="O125" s="614">
        <v>0</v>
      </c>
      <c r="P125" s="614">
        <v>0</v>
      </c>
      <c r="Q125" s="614">
        <v>0</v>
      </c>
    </row>
    <row r="126" spans="2:17" ht="15" customHeight="1">
      <c r="B126" s="776" t="s">
        <v>1069</v>
      </c>
      <c r="C126" s="611">
        <v>0</v>
      </c>
      <c r="D126" s="583">
        <v>116</v>
      </c>
      <c r="E126" s="612">
        <v>0</v>
      </c>
      <c r="F126" s="612">
        <v>0</v>
      </c>
      <c r="G126" s="612">
        <v>0</v>
      </c>
      <c r="H126" s="612">
        <v>147200</v>
      </c>
      <c r="I126" s="612">
        <v>0</v>
      </c>
      <c r="J126" s="613">
        <f t="shared" si="47"/>
        <v>0</v>
      </c>
      <c r="K126" s="614">
        <f t="shared" si="48"/>
        <v>0</v>
      </c>
      <c r="L126" s="614">
        <f t="shared" si="49"/>
        <v>0</v>
      </c>
      <c r="M126" s="615">
        <f t="shared" si="46"/>
        <v>0</v>
      </c>
      <c r="N126" s="614">
        <v>0</v>
      </c>
      <c r="O126" s="614">
        <v>147420</v>
      </c>
      <c r="P126" s="614">
        <v>0</v>
      </c>
      <c r="Q126" s="614">
        <v>0</v>
      </c>
    </row>
    <row r="127" spans="2:17" ht="15" customHeight="1">
      <c r="B127" s="776" t="s">
        <v>1070</v>
      </c>
      <c r="C127" s="611">
        <v>0</v>
      </c>
      <c r="D127" s="583">
        <v>117</v>
      </c>
      <c r="E127" s="612">
        <v>0</v>
      </c>
      <c r="F127" s="612">
        <v>0</v>
      </c>
      <c r="G127" s="612">
        <v>0</v>
      </c>
      <c r="H127" s="612">
        <v>0</v>
      </c>
      <c r="I127" s="612">
        <v>0</v>
      </c>
      <c r="J127" s="613">
        <f t="shared" si="47"/>
        <v>0</v>
      </c>
      <c r="K127" s="614">
        <f t="shared" si="48"/>
        <v>0</v>
      </c>
      <c r="L127" s="614">
        <f t="shared" si="49"/>
        <v>0</v>
      </c>
      <c r="M127" s="615">
        <f t="shared" si="46"/>
        <v>0</v>
      </c>
      <c r="N127" s="614">
        <v>0</v>
      </c>
      <c r="O127" s="614">
        <v>50000</v>
      </c>
      <c r="P127" s="614">
        <v>0</v>
      </c>
      <c r="Q127" s="614">
        <v>0</v>
      </c>
    </row>
    <row r="128" spans="2:17" ht="15" customHeight="1">
      <c r="B128" s="776" t="s">
        <v>216</v>
      </c>
      <c r="C128" s="611">
        <v>0</v>
      </c>
      <c r="D128" s="583">
        <v>118</v>
      </c>
      <c r="E128" s="612">
        <v>0</v>
      </c>
      <c r="F128" s="612">
        <v>0</v>
      </c>
      <c r="G128" s="612">
        <v>0</v>
      </c>
      <c r="H128" s="612">
        <v>0</v>
      </c>
      <c r="I128" s="612">
        <v>0</v>
      </c>
      <c r="J128" s="613">
        <f t="shared" si="47"/>
        <v>0</v>
      </c>
      <c r="K128" s="614">
        <f t="shared" si="48"/>
        <v>0</v>
      </c>
      <c r="L128" s="614">
        <f t="shared" si="49"/>
        <v>0</v>
      </c>
      <c r="M128" s="615">
        <f t="shared" si="46"/>
        <v>0</v>
      </c>
      <c r="N128" s="614">
        <v>0</v>
      </c>
      <c r="O128" s="614">
        <v>0</v>
      </c>
      <c r="P128" s="614">
        <v>0</v>
      </c>
      <c r="Q128" s="614">
        <v>0</v>
      </c>
    </row>
    <row r="129" spans="2:17" s="605" customFormat="1" ht="14.25" customHeight="1">
      <c r="B129" s="776" t="s">
        <v>481</v>
      </c>
      <c r="C129" s="619">
        <v>0</v>
      </c>
      <c r="D129" s="583">
        <v>119</v>
      </c>
      <c r="E129" s="612">
        <v>0</v>
      </c>
      <c r="F129" s="612">
        <v>0</v>
      </c>
      <c r="G129" s="612">
        <v>0</v>
      </c>
      <c r="H129" s="612">
        <v>0</v>
      </c>
      <c r="I129" s="612">
        <v>0</v>
      </c>
      <c r="J129" s="613">
        <f t="shared" si="47"/>
        <v>0</v>
      </c>
      <c r="K129" s="614">
        <f t="shared" si="48"/>
        <v>0</v>
      </c>
      <c r="L129" s="614">
        <f t="shared" si="49"/>
        <v>0</v>
      </c>
      <c r="M129" s="615">
        <f t="shared" si="46"/>
        <v>0</v>
      </c>
      <c r="N129" s="614">
        <v>0</v>
      </c>
      <c r="O129" s="614">
        <f>SUM(J129*$L$9+J129)</f>
        <v>0</v>
      </c>
      <c r="P129" s="614">
        <v>0</v>
      </c>
      <c r="Q129" s="614">
        <v>0</v>
      </c>
    </row>
    <row r="130" spans="2:17" s="605" customFormat="1" ht="14.25" customHeight="1">
      <c r="B130" s="758" t="s">
        <v>743</v>
      </c>
      <c r="C130" s="785">
        <v>0</v>
      </c>
      <c r="D130" s="758"/>
      <c r="E130" s="758"/>
      <c r="F130" s="758"/>
      <c r="G130" s="758"/>
      <c r="H130" s="758"/>
      <c r="I130" s="758"/>
      <c r="J130" s="758"/>
      <c r="K130" s="758"/>
      <c r="L130" s="758"/>
      <c r="M130" s="758"/>
      <c r="N130" s="758"/>
      <c r="O130" s="777"/>
      <c r="P130" s="777"/>
      <c r="Q130" s="777"/>
    </row>
    <row r="131" spans="1:17" s="580" customFormat="1" ht="34.5" customHeight="1">
      <c r="A131" s="904" t="s">
        <v>1125</v>
      </c>
      <c r="B131" s="904"/>
      <c r="C131" s="904"/>
      <c r="D131" s="904"/>
      <c r="E131" s="904"/>
      <c r="F131" s="904"/>
      <c r="G131" s="904"/>
      <c r="H131" s="904"/>
      <c r="I131" s="904"/>
      <c r="J131" s="904"/>
      <c r="K131" s="904"/>
      <c r="L131" s="904"/>
      <c r="M131" s="904"/>
      <c r="N131" s="904"/>
      <c r="O131" s="904"/>
      <c r="P131" s="904"/>
      <c r="Q131" s="904"/>
    </row>
    <row r="132" spans="1:17" s="580" customFormat="1" ht="28.5" customHeight="1">
      <c r="A132" s="832"/>
      <c r="B132" s="905" t="s">
        <v>1100</v>
      </c>
      <c r="C132" s="905"/>
      <c r="D132" s="905"/>
      <c r="E132" s="905"/>
      <c r="F132" s="905"/>
      <c r="G132" s="905"/>
      <c r="H132" s="905"/>
      <c r="I132" s="905"/>
      <c r="J132" s="905"/>
      <c r="K132" s="905"/>
      <c r="L132" s="905"/>
      <c r="M132" s="905"/>
      <c r="N132" s="905"/>
      <c r="O132" s="905"/>
      <c r="P132" s="905"/>
      <c r="Q132" s="905"/>
    </row>
    <row r="133" spans="1:17" s="580" customFormat="1" ht="21.75" customHeight="1">
      <c r="A133" s="832"/>
      <c r="B133" s="905" t="s">
        <v>1101</v>
      </c>
      <c r="C133" s="905"/>
      <c r="D133" s="905"/>
      <c r="E133" s="905"/>
      <c r="F133" s="905"/>
      <c r="G133" s="905"/>
      <c r="H133" s="905"/>
      <c r="I133" s="905"/>
      <c r="J133" s="905"/>
      <c r="K133" s="905"/>
      <c r="L133" s="905"/>
      <c r="M133" s="905"/>
      <c r="N133" s="905"/>
      <c r="O133" s="905"/>
      <c r="P133" s="905"/>
      <c r="Q133" s="905"/>
    </row>
    <row r="134" ht="46.5" customHeight="1">
      <c r="J134" s="651"/>
    </row>
    <row r="135" spans="2:16" ht="15.75" customHeight="1">
      <c r="B135" s="893" t="s">
        <v>1096</v>
      </c>
      <c r="C135" s="894"/>
      <c r="D135" s="894"/>
      <c r="E135" s="894"/>
      <c r="G135" s="894" t="s">
        <v>1028</v>
      </c>
      <c r="H135" s="894"/>
      <c r="I135" s="894"/>
      <c r="J135" s="894"/>
      <c r="K135" s="894"/>
      <c r="O135" s="774" t="s">
        <v>1094</v>
      </c>
      <c r="P135" s="657"/>
    </row>
    <row r="136" spans="2:16" ht="11.25" customHeight="1">
      <c r="B136" s="893" t="s">
        <v>1097</v>
      </c>
      <c r="C136" s="894"/>
      <c r="D136" s="894"/>
      <c r="E136" s="894"/>
      <c r="H136" s="657" t="s">
        <v>1029</v>
      </c>
      <c r="I136" s="657"/>
      <c r="J136" s="657"/>
      <c r="O136" s="774" t="s">
        <v>1095</v>
      </c>
      <c r="P136" s="657"/>
    </row>
    <row r="137" spans="2:7" ht="24" customHeight="1">
      <c r="B137" s="437"/>
      <c r="C137" s="437"/>
      <c r="D137" s="437"/>
      <c r="E137" s="437"/>
      <c r="F137" s="437"/>
      <c r="G137" s="656"/>
    </row>
    <row r="138" spans="2:17" ht="15" customHeight="1">
      <c r="B138" s="741"/>
      <c r="C138" s="741"/>
      <c r="D138" s="741"/>
      <c r="E138" s="892"/>
      <c r="F138" s="892"/>
      <c r="G138" s="892"/>
      <c r="H138" s="892"/>
      <c r="I138" s="892"/>
      <c r="J138" s="892"/>
      <c r="K138" s="892"/>
      <c r="L138" s="741"/>
      <c r="M138" s="741"/>
      <c r="N138" s="741"/>
      <c r="O138" s="775"/>
      <c r="P138" s="741"/>
      <c r="Q138" s="741"/>
    </row>
    <row r="139" spans="5:7" ht="24" customHeight="1">
      <c r="E139" s="652"/>
      <c r="F139" s="653"/>
      <c r="G139" s="653"/>
    </row>
  </sheetData>
  <sheetProtection/>
  <mergeCells count="18">
    <mergeCell ref="B5:L5"/>
    <mergeCell ref="E6:G6"/>
    <mergeCell ref="J6:L6"/>
    <mergeCell ref="M5:Q5"/>
    <mergeCell ref="P6:Q6"/>
    <mergeCell ref="C1:P1"/>
    <mergeCell ref="B2:M2"/>
    <mergeCell ref="B3:L3"/>
    <mergeCell ref="B4:L4"/>
    <mergeCell ref="E138:K138"/>
    <mergeCell ref="B135:E135"/>
    <mergeCell ref="B136:E136"/>
    <mergeCell ref="G135:K135"/>
    <mergeCell ref="B7:C9"/>
    <mergeCell ref="E7:G7"/>
    <mergeCell ref="A131:Q131"/>
    <mergeCell ref="B132:Q132"/>
    <mergeCell ref="B133:Q133"/>
  </mergeCells>
  <printOptions horizontalCentered="1"/>
  <pageMargins left="0.1968503937007874" right="0.1968503937007874" top="0.3937007874015748" bottom="0.3937007874015748"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Q39"/>
  <sheetViews>
    <sheetView zoomScalePageLayoutView="0" workbookViewId="0" topLeftCell="A5">
      <selection activeCell="D18" sqref="D18"/>
    </sheetView>
  </sheetViews>
  <sheetFormatPr defaultColWidth="9.140625" defaultRowHeight="12.75"/>
  <cols>
    <col min="1" max="1" width="2.421875" style="74" customWidth="1"/>
    <col min="2" max="2" width="26.57421875" style="74" customWidth="1"/>
    <col min="3" max="3" width="5.7109375" style="138" customWidth="1"/>
    <col min="4" max="4" width="9.00390625" style="78" customWidth="1"/>
    <col min="5" max="5" width="9.57421875" style="78" bestFit="1" customWidth="1"/>
    <col min="6" max="6" width="6.140625" style="75" bestFit="1" customWidth="1"/>
    <col min="7" max="7" width="9.57421875" style="78" bestFit="1" customWidth="1"/>
    <col min="8" max="8" width="6.8515625" style="78" customWidth="1"/>
    <col min="9" max="9" width="9.7109375" style="75" customWidth="1"/>
    <col min="10" max="10" width="7.00390625" style="78" customWidth="1"/>
    <col min="11" max="11" width="9.421875" style="78" customWidth="1"/>
    <col min="12" max="12" width="6.57421875" style="75" customWidth="1"/>
    <col min="13" max="13" width="10.140625" style="75" customWidth="1"/>
    <col min="14" max="14" width="7.140625" style="75" customWidth="1"/>
    <col min="15" max="15" width="9.28125" style="78" customWidth="1"/>
    <col min="16" max="16" width="6.421875" style="75" customWidth="1"/>
    <col min="17" max="17" width="13.140625" style="74" customWidth="1"/>
    <col min="18" max="16384" width="9.140625" style="74" customWidth="1"/>
  </cols>
  <sheetData>
    <row r="1" spans="2:16" ht="12.75" customHeight="1">
      <c r="B1" s="349" t="s">
        <v>571</v>
      </c>
      <c r="C1" s="938" t="s">
        <v>210</v>
      </c>
      <c r="D1" s="938"/>
      <c r="E1" s="938"/>
      <c r="F1" s="938"/>
      <c r="G1" s="938"/>
      <c r="H1" s="938"/>
      <c r="I1" s="938"/>
      <c r="J1" s="938"/>
      <c r="K1" s="938"/>
      <c r="L1" s="938"/>
      <c r="M1" s="938"/>
      <c r="N1" s="938"/>
      <c r="O1" s="939" t="s">
        <v>64</v>
      </c>
      <c r="P1" s="939"/>
    </row>
    <row r="2" spans="2:16" s="437" customFormat="1" ht="12.75" customHeight="1">
      <c r="B2" s="881" t="s">
        <v>414</v>
      </c>
      <c r="C2" s="882"/>
      <c r="D2" s="882"/>
      <c r="E2" s="882"/>
      <c r="F2" s="882"/>
      <c r="G2" s="882"/>
      <c r="H2" s="882"/>
      <c r="I2" s="882"/>
      <c r="J2" s="882"/>
      <c r="K2" s="882"/>
      <c r="L2" s="882"/>
      <c r="M2" s="882"/>
      <c r="N2" s="882"/>
      <c r="O2" s="882"/>
      <c r="P2" s="883"/>
    </row>
    <row r="3" spans="2:16" s="437" customFormat="1" ht="12.75" customHeight="1">
      <c r="B3" s="884" t="s">
        <v>451</v>
      </c>
      <c r="C3" s="885"/>
      <c r="D3" s="885"/>
      <c r="E3" s="885"/>
      <c r="F3" s="885"/>
      <c r="G3" s="885"/>
      <c r="H3" s="885"/>
      <c r="I3" s="885"/>
      <c r="J3" s="885"/>
      <c r="K3" s="885"/>
      <c r="L3" s="885"/>
      <c r="M3" s="885"/>
      <c r="N3" s="885"/>
      <c r="O3" s="885"/>
      <c r="P3" s="886"/>
    </row>
    <row r="4" spans="2:16" s="437" customFormat="1" ht="12.75" customHeight="1">
      <c r="B4" s="942" t="s">
        <v>300</v>
      </c>
      <c r="C4" s="943"/>
      <c r="D4" s="943"/>
      <c r="E4" s="943"/>
      <c r="F4" s="943"/>
      <c r="G4" s="943"/>
      <c r="H4" s="943"/>
      <c r="I4" s="943"/>
      <c r="J4" s="943"/>
      <c r="K4" s="943"/>
      <c r="L4" s="943"/>
      <c r="M4" s="943"/>
      <c r="N4" s="943"/>
      <c r="O4" s="943"/>
      <c r="P4" s="944"/>
    </row>
    <row r="5" spans="2:16" s="437" customFormat="1" ht="12.75" customHeight="1">
      <c r="B5" s="945" t="str">
        <f>'TAB. P - PARÂMETROS'!B6:G6</f>
        <v>EXERCÍCIO: 2016</v>
      </c>
      <c r="C5" s="946"/>
      <c r="D5" s="946"/>
      <c r="E5" s="946"/>
      <c r="F5" s="946"/>
      <c r="G5" s="946"/>
      <c r="H5" s="946"/>
      <c r="I5" s="946"/>
      <c r="J5" s="946"/>
      <c r="K5" s="946"/>
      <c r="L5" s="946"/>
      <c r="M5" s="946"/>
      <c r="N5" s="946"/>
      <c r="O5" s="946"/>
      <c r="P5" s="947"/>
    </row>
    <row r="6" spans="2:16" ht="12.75" customHeight="1">
      <c r="B6" s="948" t="str">
        <f>'TAB. P - PARÂMETROS'!B8</f>
        <v>ANEXO do Projeto de Lei n°. 051/2015 </v>
      </c>
      <c r="C6" s="949"/>
      <c r="D6" s="950"/>
      <c r="E6" s="229"/>
      <c r="F6" s="229"/>
      <c r="G6" s="229"/>
      <c r="H6" s="229"/>
      <c r="I6" s="229"/>
      <c r="J6" s="229"/>
      <c r="K6" s="229"/>
      <c r="L6" s="229"/>
      <c r="M6" s="229"/>
      <c r="N6" s="229"/>
      <c r="O6" s="229"/>
      <c r="P6" s="232"/>
    </row>
    <row r="7" spans="2:16" ht="13.5" customHeight="1">
      <c r="B7" s="951" t="s">
        <v>562</v>
      </c>
      <c r="C7" s="952"/>
      <c r="D7" s="952"/>
      <c r="E7" s="952"/>
      <c r="F7" s="952"/>
      <c r="G7" s="952"/>
      <c r="H7" s="952"/>
      <c r="I7" s="952"/>
      <c r="J7" s="952"/>
      <c r="K7" s="952"/>
      <c r="L7" s="952"/>
      <c r="M7" s="952"/>
      <c r="N7" s="952"/>
      <c r="O7" s="952"/>
      <c r="P7" s="953"/>
    </row>
    <row r="8" spans="2:16" s="77" customFormat="1" ht="17.25" customHeight="1">
      <c r="B8" s="929" t="s">
        <v>235</v>
      </c>
      <c r="C8" s="940"/>
      <c r="D8" s="935" t="s">
        <v>537</v>
      </c>
      <c r="E8" s="936"/>
      <c r="F8" s="936"/>
      <c r="G8" s="936"/>
      <c r="H8" s="936"/>
      <c r="I8" s="936"/>
      <c r="J8" s="936"/>
      <c r="K8" s="936"/>
      <c r="L8" s="936"/>
      <c r="M8" s="936"/>
      <c r="N8" s="936"/>
      <c r="O8" s="936"/>
      <c r="P8" s="937"/>
    </row>
    <row r="9" spans="2:16" s="80" customFormat="1" ht="14.25" customHeight="1">
      <c r="B9" s="931"/>
      <c r="C9" s="941"/>
      <c r="D9" s="415" t="s">
        <v>172</v>
      </c>
      <c r="E9" s="418" t="s">
        <v>173</v>
      </c>
      <c r="F9" s="954" t="s">
        <v>549</v>
      </c>
      <c r="G9" s="418" t="s">
        <v>174</v>
      </c>
      <c r="H9" s="954" t="s">
        <v>549</v>
      </c>
      <c r="I9" s="956" t="s">
        <v>535</v>
      </c>
      <c r="J9" s="956"/>
      <c r="K9" s="957" t="s">
        <v>536</v>
      </c>
      <c r="L9" s="958"/>
      <c r="M9" s="958"/>
      <c r="N9" s="958"/>
      <c r="O9" s="958"/>
      <c r="P9" s="959"/>
    </row>
    <row r="10" spans="2:16" s="80" customFormat="1" ht="32.25" customHeight="1">
      <c r="B10" s="76" t="s">
        <v>235</v>
      </c>
      <c r="C10" s="137" t="s">
        <v>586</v>
      </c>
      <c r="D10" s="724" t="s">
        <v>409</v>
      </c>
      <c r="E10" s="724" t="s">
        <v>410</v>
      </c>
      <c r="F10" s="955"/>
      <c r="G10" s="724" t="s">
        <v>393</v>
      </c>
      <c r="H10" s="955"/>
      <c r="I10" s="724" t="s">
        <v>294</v>
      </c>
      <c r="J10" s="79" t="s">
        <v>549</v>
      </c>
      <c r="K10" s="724" t="s">
        <v>45</v>
      </c>
      <c r="L10" s="79" t="s">
        <v>549</v>
      </c>
      <c r="M10" s="724" t="s">
        <v>1040</v>
      </c>
      <c r="N10" s="79" t="s">
        <v>549</v>
      </c>
      <c r="O10" s="724" t="s">
        <v>1085</v>
      </c>
      <c r="P10" s="79" t="s">
        <v>549</v>
      </c>
    </row>
    <row r="11" spans="2:16" s="256" customFormat="1" ht="12" customHeight="1">
      <c r="B11" s="419" t="s">
        <v>452</v>
      </c>
      <c r="C11" s="420"/>
      <c r="D11" s="421">
        <f>'IV. META FISCAL RESULT.PRIMÁRIO'!D11</f>
        <v>9417748.529999997</v>
      </c>
      <c r="E11" s="421">
        <f>'IV. META FISCAL RESULT.PRIMÁRIO'!E11</f>
        <v>10151102.850000001</v>
      </c>
      <c r="F11" s="422">
        <f>E11/D11</f>
        <v>1.077869388597914</v>
      </c>
      <c r="G11" s="421">
        <f>'IV. META FISCAL RESULT.PRIMÁRIO'!F11</f>
        <v>10417144.759999998</v>
      </c>
      <c r="H11" s="422">
        <f aca="true" t="shared" si="0" ref="H11:H18">G11/E11</f>
        <v>1.026208177961668</v>
      </c>
      <c r="I11" s="423">
        <f>'IV. META FISCAL RESULT.PRIMÁRIO'!G11</f>
        <v>11914000</v>
      </c>
      <c r="J11" s="422">
        <f>I11/G11</f>
        <v>1.1436915080366035</v>
      </c>
      <c r="K11" s="421">
        <f>'IV. META FISCAL RESULT.PRIMÁRIO'!H11</f>
        <v>12093327.882285722</v>
      </c>
      <c r="L11" s="422">
        <f>K11/I11</f>
        <v>1.0150518618671918</v>
      </c>
      <c r="M11" s="424">
        <f>'IV. META FISCAL RESULT.PRIMÁRIO'!I11</f>
        <v>11808913.305749748</v>
      </c>
      <c r="N11" s="422">
        <f>M11/K11</f>
        <v>0.9764816947572733</v>
      </c>
      <c r="O11" s="421">
        <f>'IV. META FISCAL RESULT.PRIMÁRIO'!J11</f>
        <v>12071794.697059035</v>
      </c>
      <c r="P11" s="422">
        <f>O11/M11</f>
        <v>1.0222612686284427</v>
      </c>
    </row>
    <row r="12" spans="2:17" s="256" customFormat="1" ht="12" customHeight="1">
      <c r="B12" s="416" t="s">
        <v>613</v>
      </c>
      <c r="C12" s="353" t="s">
        <v>240</v>
      </c>
      <c r="D12" s="354">
        <f>'IV. META FISCAL RESULT.PRIMÁRIO'!D32</f>
        <v>9199238.11</v>
      </c>
      <c r="E12" s="354">
        <f>'IV. META FISCAL RESULT.PRIMÁRIO'!E32</f>
        <v>10036463.030000001</v>
      </c>
      <c r="F12" s="422">
        <f aca="true" t="shared" si="1" ref="F12:F18">E12/D12</f>
        <v>1.0910102456300048</v>
      </c>
      <c r="G12" s="354">
        <f>'IV. META FISCAL RESULT.PRIMÁRIO'!F32</f>
        <v>10213827.339999998</v>
      </c>
      <c r="H12" s="422">
        <f t="shared" si="0"/>
        <v>1.0176719935568772</v>
      </c>
      <c r="I12" s="417">
        <f>'IV. META FISCAL RESULT.PRIMÁRIO'!G32</f>
        <v>11785800</v>
      </c>
      <c r="J12" s="422">
        <f aca="true" t="shared" si="2" ref="J12:J18">I12/G12</f>
        <v>1.153906327928978</v>
      </c>
      <c r="K12" s="354">
        <f>'IV. META FISCAL RESULT.PRIMÁRIO'!H32</f>
        <v>11865225.328501962</v>
      </c>
      <c r="L12" s="422">
        <f aca="true" t="shared" si="3" ref="L12:L18">K12/I12</f>
        <v>1.0067390697705683</v>
      </c>
      <c r="M12" s="417">
        <f>'IV. META FISCAL RESULT.PRIMÁRIO'!I32</f>
        <v>11601951.803444097</v>
      </c>
      <c r="N12" s="422">
        <f aca="true" t="shared" si="4" ref="N12:N18">M12/K12</f>
        <v>0.9778113337278607</v>
      </c>
      <c r="O12" s="354">
        <f>'IV. META FISCAL RESULT.PRIMÁRIO'!J32</f>
        <v>11859866.11869805</v>
      </c>
      <c r="P12" s="422">
        <f aca="true" t="shared" si="5" ref="P12:P18">O12/M12</f>
        <v>1.0222302522561237</v>
      </c>
      <c r="Q12" s="296"/>
    </row>
    <row r="13" spans="2:16" s="256" customFormat="1" ht="12" customHeight="1">
      <c r="B13" s="425" t="s">
        <v>453</v>
      </c>
      <c r="C13" s="426"/>
      <c r="D13" s="427">
        <f>'IV. META FISCAL RESULT.PRIMÁRIO'!D33</f>
        <v>9311987.549999999</v>
      </c>
      <c r="E13" s="427">
        <f>'IV. META FISCAL RESULT.PRIMÁRIO'!E33</f>
        <v>9110230.28</v>
      </c>
      <c r="F13" s="422">
        <f t="shared" si="1"/>
        <v>0.9783335975357914</v>
      </c>
      <c r="G13" s="427">
        <f>'IV. META FISCAL RESULT.PRIMÁRIO'!F33</f>
        <v>10215104.9</v>
      </c>
      <c r="H13" s="422">
        <f t="shared" si="0"/>
        <v>1.1212784513719232</v>
      </c>
      <c r="I13" s="428">
        <f>'IV. META FISCAL RESULT.PRIMÁRIO'!G33</f>
        <v>11914000</v>
      </c>
      <c r="J13" s="422">
        <f t="shared" si="2"/>
        <v>1.1663120561786888</v>
      </c>
      <c r="K13" s="427">
        <f>'IV. META FISCAL RESULT.PRIMÁRIO'!H33</f>
        <v>11821893.220134826</v>
      </c>
      <c r="L13" s="422">
        <f t="shared" si="3"/>
        <v>0.9922690297242593</v>
      </c>
      <c r="M13" s="428">
        <f>'IV. META FISCAL RESULT.PRIMÁRIO'!I33</f>
        <v>11532461.316203108</v>
      </c>
      <c r="N13" s="422">
        <f t="shared" si="4"/>
        <v>0.9755172967187047</v>
      </c>
      <c r="O13" s="427">
        <f>'IV. META FISCAL RESULT.PRIMÁRIO'!J33</f>
        <v>12356587.558981955</v>
      </c>
      <c r="P13" s="422">
        <f t="shared" si="5"/>
        <v>1.0714614356972478</v>
      </c>
    </row>
    <row r="14" spans="2:16" s="256" customFormat="1" ht="12" customHeight="1">
      <c r="B14" s="416" t="s">
        <v>614</v>
      </c>
      <c r="C14" s="353" t="s">
        <v>239</v>
      </c>
      <c r="D14" s="354">
        <f>'IV. META FISCAL RESULT.PRIMÁRIO'!D45</f>
        <v>9311987.549999999</v>
      </c>
      <c r="E14" s="354">
        <f>'IV. META FISCAL RESULT.PRIMÁRIO'!E45</f>
        <v>9110230.28</v>
      </c>
      <c r="F14" s="422">
        <f t="shared" si="1"/>
        <v>0.9783335975357914</v>
      </c>
      <c r="G14" s="354">
        <f>'IV. META FISCAL RESULT.PRIMÁRIO'!F45</f>
        <v>10215104.9</v>
      </c>
      <c r="H14" s="422">
        <f t="shared" si="0"/>
        <v>1.1212784513719232</v>
      </c>
      <c r="I14" s="417">
        <f>'IV. META FISCAL RESULT.PRIMÁRIO'!G45</f>
        <v>11808500</v>
      </c>
      <c r="J14" s="422">
        <f t="shared" si="2"/>
        <v>1.155984213143029</v>
      </c>
      <c r="K14" s="354">
        <f>'IV. META FISCAL RESULT.PRIMÁRIO'!H45</f>
        <v>11552969.157634826</v>
      </c>
      <c r="L14" s="422">
        <f t="shared" si="3"/>
        <v>0.9783604316919868</v>
      </c>
      <c r="M14" s="417">
        <f>'IV. META FISCAL RESULT.PRIMÁRIO'!I45</f>
        <v>11277299.128703108</v>
      </c>
      <c r="N14" s="422">
        <f t="shared" si="4"/>
        <v>0.976138599076105</v>
      </c>
      <c r="O14" s="354">
        <f>'IV. META FISCAL RESULT.PRIMÁRIO'!J45</f>
        <v>12115116.308981955</v>
      </c>
      <c r="P14" s="422">
        <f t="shared" si="5"/>
        <v>1.0742923612043265</v>
      </c>
    </row>
    <row r="15" spans="2:16" s="256" customFormat="1" ht="12" customHeight="1">
      <c r="B15" s="429" t="s">
        <v>230</v>
      </c>
      <c r="C15" s="353" t="s">
        <v>615</v>
      </c>
      <c r="D15" s="430">
        <f>D12-D14</f>
        <v>-112749.43999999948</v>
      </c>
      <c r="E15" s="430">
        <f>E12-E14</f>
        <v>926232.7500000019</v>
      </c>
      <c r="F15" s="422">
        <f t="shared" si="1"/>
        <v>-8.2149654135755</v>
      </c>
      <c r="G15" s="430">
        <f aca="true" t="shared" si="6" ref="G15:O15">G12-G14</f>
        <v>-1277.5600000023842</v>
      </c>
      <c r="H15" s="422">
        <f t="shared" si="0"/>
        <v>-0.0013793077387971669</v>
      </c>
      <c r="I15" s="430">
        <f t="shared" si="6"/>
        <v>-22700</v>
      </c>
      <c r="J15" s="422">
        <f t="shared" si="2"/>
        <v>17.76824571836754</v>
      </c>
      <c r="K15" s="430">
        <f>K12-K14</f>
        <v>312256.17086713575</v>
      </c>
      <c r="L15" s="422">
        <f t="shared" si="3"/>
        <v>-13.75577845229673</v>
      </c>
      <c r="M15" s="430">
        <f t="shared" si="6"/>
        <v>324652.67474098876</v>
      </c>
      <c r="N15" s="422">
        <f t="shared" si="4"/>
        <v>1.0396997882841768</v>
      </c>
      <c r="O15" s="430">
        <f t="shared" si="6"/>
        <v>-255250.19028390571</v>
      </c>
      <c r="P15" s="422">
        <f t="shared" si="5"/>
        <v>-0.7862254345741859</v>
      </c>
    </row>
    <row r="16" spans="2:16" s="256" customFormat="1" ht="12" customHeight="1">
      <c r="B16" s="431" t="s">
        <v>231</v>
      </c>
      <c r="C16" s="353"/>
      <c r="D16" s="459">
        <f>'V. MF.RES NOMINAL E DIV CONSOL '!C24</f>
        <v>-1217981.9100000001</v>
      </c>
      <c r="E16" s="459">
        <f>'V. MF.RES NOMINAL E DIV CONSOL '!D24</f>
        <v>12384.020000000251</v>
      </c>
      <c r="F16" s="422">
        <f t="shared" si="1"/>
        <v>-0.010167655117308147</v>
      </c>
      <c r="G16" s="459">
        <f>'V. MF.RES NOMINAL E DIV CONSOL '!E24</f>
        <v>-139069.94999999995</v>
      </c>
      <c r="H16" s="422">
        <f t="shared" si="0"/>
        <v>-11.229790488064225</v>
      </c>
      <c r="I16" s="460">
        <f>'V. MF.RES NOMINAL E DIV CONSOL '!F24</f>
        <v>237815.42000000016</v>
      </c>
      <c r="J16" s="422">
        <f t="shared" si="2"/>
        <v>-1.7100417451793162</v>
      </c>
      <c r="K16" s="432">
        <f>'V. MF.RES NOMINAL E DIV CONSOL '!G24</f>
        <v>32406.085833738674</v>
      </c>
      <c r="L16" s="422">
        <f t="shared" si="3"/>
        <v>0.13626570486362344</v>
      </c>
      <c r="M16" s="433">
        <f>'V. MF.RES NOMINAL E DIV CONSOL '!H24</f>
        <v>-93718.4478655532</v>
      </c>
      <c r="N16" s="422">
        <f t="shared" si="4"/>
        <v>-2.8920014699208414</v>
      </c>
      <c r="O16" s="432">
        <f>'V. MF.RES NOMINAL E DIV CONSOL '!I24</f>
        <v>451650.50614596455</v>
      </c>
      <c r="P16" s="422">
        <f t="shared" si="5"/>
        <v>-4.819227339252292</v>
      </c>
    </row>
    <row r="17" spans="2:17" s="256" customFormat="1" ht="12" customHeight="1">
      <c r="B17" s="461" t="s">
        <v>233</v>
      </c>
      <c r="C17" s="353"/>
      <c r="D17" s="115">
        <f>'V. MF.RES NOMINAL E DIV CONSOL '!C12</f>
        <v>0</v>
      </c>
      <c r="E17" s="115">
        <f>'V. MF.RES NOMINAL E DIV CONSOL '!D12</f>
        <v>0</v>
      </c>
      <c r="F17" s="422" t="e">
        <f>E17/D17</f>
        <v>#DIV/0!</v>
      </c>
      <c r="G17" s="462">
        <f>'V. MF.RES NOMINAL E DIV CONSOL '!E12</f>
        <v>0</v>
      </c>
      <c r="H17" s="422" t="e">
        <f t="shared" si="0"/>
        <v>#DIV/0!</v>
      </c>
      <c r="I17" s="463">
        <f>'V. MF.RES NOMINAL E DIV CONSOL '!F13</f>
        <v>0</v>
      </c>
      <c r="J17" s="422" t="e">
        <f>I17/G17</f>
        <v>#DIV/0!</v>
      </c>
      <c r="K17" s="462">
        <f>'V. MF.RES NOMINAL E DIV CONSOL '!G12</f>
        <v>510750</v>
      </c>
      <c r="L17" s="422" t="e">
        <f>K17/I17</f>
        <v>#DIV/0!</v>
      </c>
      <c r="M17" s="463">
        <f>'V. MF.RES NOMINAL E DIV CONSOL '!H12</f>
        <v>425412.1875</v>
      </c>
      <c r="N17" s="422">
        <f>M17/K17</f>
        <v>0.8329166666666666</v>
      </c>
      <c r="O17" s="462">
        <f>'V. MF.RES NOMINAL E DIV CONSOL '!I12</f>
        <v>326383.4375</v>
      </c>
      <c r="P17" s="422">
        <f>O17/M17</f>
        <v>0.7672169418042355</v>
      </c>
      <c r="Q17" s="714" t="s">
        <v>65</v>
      </c>
    </row>
    <row r="18" spans="2:16" s="256" customFormat="1" ht="12" customHeight="1">
      <c r="B18" s="434" t="s">
        <v>234</v>
      </c>
      <c r="C18" s="353"/>
      <c r="D18" s="435">
        <f>'V. MF.RES NOMINAL E DIV CONSOL '!C23</f>
        <v>-1991588.2600000002</v>
      </c>
      <c r="E18" s="435">
        <f>'V. MF.RES NOMINAL E DIV CONSOL '!D23</f>
        <v>-1979204.24</v>
      </c>
      <c r="F18" s="422">
        <f t="shared" si="1"/>
        <v>0.9937818372156902</v>
      </c>
      <c r="G18" s="435">
        <f>'V. MF.RES NOMINAL E DIV CONSOL '!E23</f>
        <v>-2118274.19</v>
      </c>
      <c r="H18" s="422">
        <f t="shared" si="0"/>
        <v>1.0702655881537522</v>
      </c>
      <c r="I18" s="436">
        <f>'V. MF.RES NOMINAL E DIV CONSOL '!F23</f>
        <v>-1880458.7699999998</v>
      </c>
      <c r="J18" s="422">
        <f t="shared" si="2"/>
        <v>0.8877315216685899</v>
      </c>
      <c r="K18" s="435">
        <f>'V. MF.RES NOMINAL E DIV CONSOL '!G23</f>
        <v>32406.085833738674</v>
      </c>
      <c r="L18" s="422">
        <f t="shared" si="3"/>
        <v>-0.017233074370324362</v>
      </c>
      <c r="M18" s="436">
        <f>'V. MF.RES NOMINAL E DIV CONSOL '!H23</f>
        <v>-61312.362031814526</v>
      </c>
      <c r="N18" s="422">
        <f t="shared" si="4"/>
        <v>-1.8920014699208414</v>
      </c>
      <c r="O18" s="435">
        <f>'V. MF.RES NOMINAL E DIV CONSOL '!I23</f>
        <v>390338.14411415</v>
      </c>
      <c r="P18" s="422">
        <f t="shared" si="5"/>
        <v>-6.366385687630277</v>
      </c>
    </row>
    <row r="19" spans="2:16" s="77" customFormat="1" ht="17.25" customHeight="1">
      <c r="B19" s="929" t="s">
        <v>235</v>
      </c>
      <c r="C19" s="940"/>
      <c r="D19" s="935" t="s">
        <v>538</v>
      </c>
      <c r="E19" s="936"/>
      <c r="F19" s="936"/>
      <c r="G19" s="936"/>
      <c r="H19" s="936"/>
      <c r="I19" s="936"/>
      <c r="J19" s="936"/>
      <c r="K19" s="936"/>
      <c r="L19" s="936"/>
      <c r="M19" s="936"/>
      <c r="N19" s="936"/>
      <c r="O19" s="936"/>
      <c r="P19" s="937"/>
    </row>
    <row r="20" spans="2:16" s="80" customFormat="1" ht="14.25" customHeight="1">
      <c r="B20" s="931"/>
      <c r="C20" s="941"/>
      <c r="D20" s="415" t="s">
        <v>172</v>
      </c>
      <c r="E20" s="418" t="s">
        <v>173</v>
      </c>
      <c r="F20" s="960" t="s">
        <v>549</v>
      </c>
      <c r="G20" s="418" t="s">
        <v>174</v>
      </c>
      <c r="H20" s="954" t="s">
        <v>549</v>
      </c>
      <c r="I20" s="956" t="s">
        <v>535</v>
      </c>
      <c r="J20" s="956"/>
      <c r="K20" s="957" t="s">
        <v>536</v>
      </c>
      <c r="L20" s="958"/>
      <c r="M20" s="958"/>
      <c r="N20" s="958"/>
      <c r="O20" s="958"/>
      <c r="P20" s="959"/>
    </row>
    <row r="21" spans="2:16" s="80" customFormat="1" ht="32.25" customHeight="1">
      <c r="B21" s="76" t="s">
        <v>235</v>
      </c>
      <c r="C21" s="137" t="s">
        <v>586</v>
      </c>
      <c r="D21" s="724" t="s">
        <v>409</v>
      </c>
      <c r="E21" s="724" t="s">
        <v>410</v>
      </c>
      <c r="F21" s="955"/>
      <c r="G21" s="724" t="s">
        <v>393</v>
      </c>
      <c r="H21" s="955"/>
      <c r="I21" s="724" t="s">
        <v>294</v>
      </c>
      <c r="J21" s="79" t="s">
        <v>549</v>
      </c>
      <c r="K21" s="724" t="s">
        <v>45</v>
      </c>
      <c r="L21" s="79" t="s">
        <v>549</v>
      </c>
      <c r="M21" s="724" t="s">
        <v>1040</v>
      </c>
      <c r="N21" s="79" t="s">
        <v>549</v>
      </c>
      <c r="O21" s="724" t="s">
        <v>1085</v>
      </c>
      <c r="P21" s="79" t="s">
        <v>549</v>
      </c>
    </row>
    <row r="22" spans="2:16" s="256" customFormat="1" ht="12" customHeight="1">
      <c r="B22" s="419" t="s">
        <v>452</v>
      </c>
      <c r="C22" s="420"/>
      <c r="D22" s="421">
        <f aca="true" t="shared" si="7" ref="D22:D29">D11/$C$35</f>
        <v>7895467.450004506</v>
      </c>
      <c r="E22" s="421">
        <f>E11/$E$35</f>
        <v>9007283.181136103</v>
      </c>
      <c r="F22" s="422">
        <f aca="true" t="shared" si="8" ref="F22:F29">E22/D22</f>
        <v>1.1408169608920322</v>
      </c>
      <c r="G22" s="421">
        <f>G11/$G$35</f>
        <v>9789629.508504838</v>
      </c>
      <c r="H22" s="422">
        <f aca="true" t="shared" si="9" ref="H22:H29">G22/E22</f>
        <v>1.0868570812792027</v>
      </c>
      <c r="I22" s="423">
        <f>I11/$I$35</f>
        <v>11914000</v>
      </c>
      <c r="J22" s="422">
        <f>I22/G22</f>
        <v>1.2170021337017498</v>
      </c>
      <c r="K22" s="421">
        <f>K11/$K$35</f>
        <v>11867838.942380494</v>
      </c>
      <c r="L22" s="422">
        <f>K22/I22</f>
        <v>0.996125477789197</v>
      </c>
      <c r="M22" s="423">
        <f>M11/$M$35</f>
        <v>11372647.1870089</v>
      </c>
      <c r="N22" s="422">
        <f>M22/K22</f>
        <v>0.9582744796440366</v>
      </c>
      <c r="O22" s="421">
        <f>O11/$O$35</f>
        <v>11353336.661186924</v>
      </c>
      <c r="P22" s="422">
        <f>O22/M22</f>
        <v>0.9983020201449637</v>
      </c>
    </row>
    <row r="23" spans="2:17" s="256" customFormat="1" ht="12" customHeight="1">
      <c r="B23" s="416" t="s">
        <v>613</v>
      </c>
      <c r="C23" s="353" t="s">
        <v>240</v>
      </c>
      <c r="D23" s="354">
        <f t="shared" si="7"/>
        <v>7712276.966302262</v>
      </c>
      <c r="E23" s="354">
        <f aca="true" t="shared" si="10" ref="E23:E29">E12/$E$35</f>
        <v>8905560.901514588</v>
      </c>
      <c r="F23" s="451">
        <f t="shared" si="8"/>
        <v>1.1547252439747973</v>
      </c>
      <c r="G23" s="354">
        <f aca="true" t="shared" si="11" ref="G23:G29">G12/$G$35</f>
        <v>9598559.665444974</v>
      </c>
      <c r="H23" s="451">
        <f t="shared" si="9"/>
        <v>1.0778164083760884</v>
      </c>
      <c r="I23" s="452">
        <f>I12/$I$35</f>
        <v>11785800</v>
      </c>
      <c r="J23" s="451">
        <f aca="true" t="shared" si="12" ref="J23:J29">I23/G23</f>
        <v>1.2278717235492258</v>
      </c>
      <c r="K23" s="354">
        <f>K12/$K$35</f>
        <v>11643989.527479846</v>
      </c>
      <c r="L23" s="451">
        <f aca="true" t="shared" si="13" ref="L23:L29">K23/I23</f>
        <v>0.9879676837787715</v>
      </c>
      <c r="M23" s="452">
        <f aca="true" t="shared" si="14" ref="M23:M29">M12/$M$35</f>
        <v>11173331.62883053</v>
      </c>
      <c r="N23" s="451">
        <f aca="true" t="shared" si="15" ref="N23:N29">M23/K23</f>
        <v>0.9595793265239064</v>
      </c>
      <c r="O23" s="354">
        <f aca="true" t="shared" si="16" ref="O23:O29">O12/$O$35</f>
        <v>11154021.103008555</v>
      </c>
      <c r="P23" s="451">
        <f aca="true" t="shared" si="17" ref="P23:P29">O23/M23</f>
        <v>0.998271730718871</v>
      </c>
      <c r="Q23" s="296"/>
    </row>
    <row r="24" spans="2:16" s="256" customFormat="1" ht="12" customHeight="1">
      <c r="B24" s="425" t="s">
        <v>453</v>
      </c>
      <c r="C24" s="426"/>
      <c r="D24" s="427">
        <f t="shared" si="7"/>
        <v>7806801.6322232615</v>
      </c>
      <c r="E24" s="427">
        <f t="shared" si="10"/>
        <v>8083695.455545586</v>
      </c>
      <c r="F24" s="440">
        <f t="shared" si="8"/>
        <v>1.0354682796318815</v>
      </c>
      <c r="G24" s="427">
        <f>G13/$G$35</f>
        <v>9599760.26689221</v>
      </c>
      <c r="H24" s="440">
        <f t="shared" si="9"/>
        <v>1.1875460078480036</v>
      </c>
      <c r="I24" s="441">
        <f aca="true" t="shared" si="18" ref="I24:I29">I13/$I$35</f>
        <v>11914000</v>
      </c>
      <c r="J24" s="440">
        <f t="shared" si="12"/>
        <v>1.2410726589797427</v>
      </c>
      <c r="K24" s="427">
        <f aca="true" t="shared" si="19" ref="K24:K29">K13/$K$35</f>
        <v>11601465.377953706</v>
      </c>
      <c r="L24" s="440">
        <f t="shared" si="13"/>
        <v>0.9737674482083016</v>
      </c>
      <c r="M24" s="441">
        <f t="shared" si="14"/>
        <v>11106408.38417767</v>
      </c>
      <c r="N24" s="440">
        <f t="shared" si="15"/>
        <v>0.9573280635119772</v>
      </c>
      <c r="O24" s="427">
        <f t="shared" si="16"/>
        <v>11621179.953858357</v>
      </c>
      <c r="P24" s="440">
        <f>O24/M24</f>
        <v>1.0463490582980937</v>
      </c>
    </row>
    <row r="25" spans="2:16" s="256" customFormat="1" ht="12" customHeight="1">
      <c r="B25" s="416" t="s">
        <v>614</v>
      </c>
      <c r="C25" s="353" t="s">
        <v>239</v>
      </c>
      <c r="D25" s="354">
        <f t="shared" si="7"/>
        <v>7806801.6322232615</v>
      </c>
      <c r="E25" s="354">
        <f t="shared" si="10"/>
        <v>8083695.455545586</v>
      </c>
      <c r="F25" s="451">
        <f t="shared" si="8"/>
        <v>1.0354682796318815</v>
      </c>
      <c r="G25" s="354">
        <f t="shared" si="11"/>
        <v>9599760.26689221</v>
      </c>
      <c r="H25" s="451">
        <f t="shared" si="9"/>
        <v>1.1875460078480036</v>
      </c>
      <c r="I25" s="452">
        <f t="shared" si="18"/>
        <v>11808500</v>
      </c>
      <c r="J25" s="451">
        <f t="shared" si="12"/>
        <v>1.2300828012054972</v>
      </c>
      <c r="K25" s="354">
        <f t="shared" si="19"/>
        <v>11337555.601211803</v>
      </c>
      <c r="L25" s="451">
        <f t="shared" si="13"/>
        <v>0.9601181861550411</v>
      </c>
      <c r="M25" s="452">
        <f t="shared" si="14"/>
        <v>10860672.857227024</v>
      </c>
      <c r="N25" s="451">
        <f t="shared" si="15"/>
        <v>0.957937781232684</v>
      </c>
      <c r="O25" s="354">
        <f t="shared" si="16"/>
        <v>11394079.968806796</v>
      </c>
      <c r="P25" s="451">
        <f t="shared" si="17"/>
        <v>1.0491136339886</v>
      </c>
    </row>
    <row r="26" spans="2:16" s="256" customFormat="1" ht="12" customHeight="1">
      <c r="B26" s="429" t="s">
        <v>230</v>
      </c>
      <c r="C26" s="442" t="s">
        <v>615</v>
      </c>
      <c r="D26" s="430">
        <f t="shared" si="7"/>
        <v>-94524.6659209993</v>
      </c>
      <c r="E26" s="430">
        <f t="shared" si="10"/>
        <v>821865.445969002</v>
      </c>
      <c r="F26" s="443">
        <f t="shared" si="8"/>
        <v>-8.69471939372831</v>
      </c>
      <c r="G26" s="430">
        <f t="shared" si="11"/>
        <v>-1200.6014472346435</v>
      </c>
      <c r="H26" s="443">
        <f t="shared" si="9"/>
        <v>-0.0014608248261600795</v>
      </c>
      <c r="I26" s="444">
        <f t="shared" si="18"/>
        <v>-22700</v>
      </c>
      <c r="J26" s="443">
        <f t="shared" si="12"/>
        <v>18.907190268914903</v>
      </c>
      <c r="K26" s="430">
        <f>K15/$K$35</f>
        <v>306433.92626804294</v>
      </c>
      <c r="L26" s="443">
        <f t="shared" si="13"/>
        <v>-13.499291906081186</v>
      </c>
      <c r="M26" s="444">
        <f>M15/$M$35</f>
        <v>312658.7716035067</v>
      </c>
      <c r="N26" s="443">
        <f t="shared" si="15"/>
        <v>1.0203138255978184</v>
      </c>
      <c r="O26" s="430">
        <f>O15/$O$35</f>
        <v>-240058.8657982404</v>
      </c>
      <c r="P26" s="443">
        <f>O26/M26</f>
        <v>-0.7677982759513534</v>
      </c>
    </row>
    <row r="27" spans="2:16" s="256" customFormat="1" ht="12" customHeight="1">
      <c r="B27" s="431" t="s">
        <v>231</v>
      </c>
      <c r="C27" s="445"/>
      <c r="D27" s="432">
        <f t="shared" si="7"/>
        <v>-1021107.8045316337</v>
      </c>
      <c r="E27" s="432">
        <f t="shared" si="10"/>
        <v>10988.596678523003</v>
      </c>
      <c r="F27" s="446">
        <f t="shared" si="8"/>
        <v>-0.010761446176158943</v>
      </c>
      <c r="G27" s="432">
        <f t="shared" si="11"/>
        <v>-130692.55709049896</v>
      </c>
      <c r="H27" s="446">
        <f t="shared" si="9"/>
        <v>-11.89347110590882</v>
      </c>
      <c r="I27" s="447">
        <f>I16/$I$35</f>
        <v>237815.42000000016</v>
      </c>
      <c r="J27" s="446">
        <f t="shared" si="12"/>
        <v>-1.8196554210453104</v>
      </c>
      <c r="K27" s="432">
        <f>K16/$K$35</f>
        <v>31801.85067098987</v>
      </c>
      <c r="L27" s="446">
        <f t="shared" si="13"/>
        <v>0.13372493117136747</v>
      </c>
      <c r="M27" s="433">
        <f>M16/$M$35</f>
        <v>-90256.13237164456</v>
      </c>
      <c r="N27" s="446">
        <f t="shared" si="15"/>
        <v>-2.8380779881460665</v>
      </c>
      <c r="O27" s="432">
        <f>O16/$O$35</f>
        <v>424770.33267637034</v>
      </c>
      <c r="P27" s="446">
        <f t="shared" si="17"/>
        <v>-4.706276698488566</v>
      </c>
    </row>
    <row r="28" spans="2:17" s="256" customFormat="1" ht="12" customHeight="1">
      <c r="B28" s="416" t="s">
        <v>233</v>
      </c>
      <c r="C28" s="353"/>
      <c r="D28" s="354">
        <f t="shared" si="7"/>
        <v>0</v>
      </c>
      <c r="E28" s="354">
        <f t="shared" si="10"/>
        <v>0</v>
      </c>
      <c r="F28" s="451" t="e">
        <f t="shared" si="8"/>
        <v>#DIV/0!</v>
      </c>
      <c r="G28" s="354">
        <f t="shared" si="11"/>
        <v>0</v>
      </c>
      <c r="H28" s="451" t="e">
        <f t="shared" si="9"/>
        <v>#DIV/0!</v>
      </c>
      <c r="I28" s="452">
        <f>I17/$I$35</f>
        <v>0</v>
      </c>
      <c r="J28" s="451" t="e">
        <f>I28/G28</f>
        <v>#DIV/0!</v>
      </c>
      <c r="K28" s="354">
        <f>K17/$K$35</f>
        <v>501226.69283611386</v>
      </c>
      <c r="L28" s="451" t="e">
        <f>K28/I28</f>
        <v>#DIV/0!</v>
      </c>
      <c r="M28" s="417">
        <f t="shared" si="14"/>
        <v>409695.8451829374</v>
      </c>
      <c r="N28" s="451">
        <f>M28/K28</f>
        <v>0.8173863264638536</v>
      </c>
      <c r="O28" s="354">
        <f t="shared" si="16"/>
        <v>306958.5873155808</v>
      </c>
      <c r="P28" s="451">
        <f>O28/M28</f>
        <v>0.7492352947306987</v>
      </c>
      <c r="Q28" s="714" t="s">
        <v>66</v>
      </c>
    </row>
    <row r="29" spans="2:16" s="256" customFormat="1" ht="12" customHeight="1">
      <c r="B29" s="434" t="s">
        <v>234</v>
      </c>
      <c r="C29" s="448"/>
      <c r="D29" s="435">
        <f t="shared" si="7"/>
        <v>-1669668.7356379346</v>
      </c>
      <c r="E29" s="435">
        <f t="shared" si="10"/>
        <v>-1756188.7931206669</v>
      </c>
      <c r="F29" s="449">
        <f t="shared" si="8"/>
        <v>1.0518186965090865</v>
      </c>
      <c r="G29" s="435">
        <f t="shared" si="11"/>
        <v>-1990672.1078845973</v>
      </c>
      <c r="H29" s="449">
        <f t="shared" si="9"/>
        <v>1.1335182844136389</v>
      </c>
      <c r="I29" s="450">
        <f t="shared" si="18"/>
        <v>-1880458.7699999998</v>
      </c>
      <c r="J29" s="449">
        <f t="shared" si="12"/>
        <v>0.9446351122075466</v>
      </c>
      <c r="K29" s="435">
        <f t="shared" si="19"/>
        <v>31801.85067098987</v>
      </c>
      <c r="L29" s="449">
        <f t="shared" si="13"/>
        <v>-0.016911751099435098</v>
      </c>
      <c r="M29" s="436">
        <f t="shared" si="14"/>
        <v>-59047.250457032314</v>
      </c>
      <c r="N29" s="449">
        <f t="shared" si="15"/>
        <v>-1.8567237192549966</v>
      </c>
      <c r="O29" s="435">
        <f t="shared" si="16"/>
        <v>367107.0021519247</v>
      </c>
      <c r="P29" s="449">
        <f t="shared" si="17"/>
        <v>-6.217173523076443</v>
      </c>
    </row>
    <row r="31" spans="2:16" ht="11.25" customHeight="1">
      <c r="B31" s="929" t="s">
        <v>235</v>
      </c>
      <c r="C31" s="932" t="s">
        <v>225</v>
      </c>
      <c r="D31" s="932"/>
      <c r="E31" s="932"/>
      <c r="F31" s="932"/>
      <c r="G31" s="932"/>
      <c r="H31" s="932"/>
      <c r="I31" s="932"/>
      <c r="J31" s="932"/>
      <c r="K31" s="932"/>
      <c r="L31" s="932"/>
      <c r="M31" s="932"/>
      <c r="N31" s="932"/>
      <c r="O31" s="932"/>
      <c r="P31" s="932"/>
    </row>
    <row r="32" spans="2:16" ht="11.25" customHeight="1">
      <c r="B32" s="930"/>
      <c r="C32" s="935" t="s">
        <v>277</v>
      </c>
      <c r="D32" s="936"/>
      <c r="E32" s="936"/>
      <c r="F32" s="936"/>
      <c r="G32" s="936"/>
      <c r="H32" s="937"/>
      <c r="I32" s="935" t="s">
        <v>527</v>
      </c>
      <c r="J32" s="937"/>
      <c r="K32" s="935" t="s">
        <v>278</v>
      </c>
      <c r="L32" s="936"/>
      <c r="M32" s="936"/>
      <c r="N32" s="936"/>
      <c r="O32" s="936"/>
      <c r="P32" s="937"/>
    </row>
    <row r="33" spans="2:16" ht="15" customHeight="1">
      <c r="B33" s="931"/>
      <c r="C33" s="763">
        <v>2012</v>
      </c>
      <c r="D33" s="764"/>
      <c r="E33" s="763">
        <v>2013</v>
      </c>
      <c r="F33" s="764"/>
      <c r="G33" s="763">
        <v>2014</v>
      </c>
      <c r="H33" s="764"/>
      <c r="I33" s="763">
        <v>2015</v>
      </c>
      <c r="J33" s="764"/>
      <c r="K33" s="763">
        <v>2016</v>
      </c>
      <c r="L33" s="764"/>
      <c r="M33" s="961">
        <v>2017</v>
      </c>
      <c r="N33" s="962"/>
      <c r="O33" s="961">
        <v>2018</v>
      </c>
      <c r="P33" s="962"/>
    </row>
    <row r="34" spans="2:16" s="438" customFormat="1" ht="28.5" customHeight="1">
      <c r="B34" s="725" t="s">
        <v>1102</v>
      </c>
      <c r="C34" s="761">
        <f>'VLR 2012 a 2018 ATUALIZ média'!E9</f>
        <v>0.0584</v>
      </c>
      <c r="D34" s="762"/>
      <c r="E34" s="761">
        <f>'VLR 2012 a 2018 ATUALIZ média'!F9</f>
        <v>0.0591</v>
      </c>
      <c r="F34" s="762"/>
      <c r="G34" s="759">
        <f>'VLR 2012 a 2018 ATUALIZ média'!G9</f>
        <v>0.0641</v>
      </c>
      <c r="H34" s="760"/>
      <c r="I34" s="761">
        <f>'VLR 2012 a 2018 ATUALIZ média'!N9</f>
        <v>0.0617</v>
      </c>
      <c r="J34" s="762"/>
      <c r="K34" s="761">
        <f>'VLR 2012 a 2018 ATUALIZ média'!O9</f>
        <v>0.013</v>
      </c>
      <c r="L34" s="762"/>
      <c r="M34" s="924">
        <f>'VLR 2012 a 2018 ATUALIZ média'!P9</f>
        <v>0.019</v>
      </c>
      <c r="N34" s="925"/>
      <c r="O34" s="933">
        <f>'VLR 2012 a 2018 ATUALIZ média'!Q9</f>
        <v>0.024</v>
      </c>
      <c r="P34" s="934"/>
    </row>
    <row r="35" spans="2:16" ht="15" customHeight="1">
      <c r="B35" s="439" t="s">
        <v>226</v>
      </c>
      <c r="C35" s="922">
        <f>E35*C34+E35</f>
        <v>1.192804427304</v>
      </c>
      <c r="D35" s="923"/>
      <c r="E35" s="922">
        <f>G35*E34+G35</f>
        <v>1.12698831</v>
      </c>
      <c r="F35" s="923"/>
      <c r="G35" s="922">
        <f>I35*G34+I35</f>
        <v>1.0641</v>
      </c>
      <c r="H35" s="923"/>
      <c r="I35" s="927">
        <v>1</v>
      </c>
      <c r="J35" s="928"/>
      <c r="K35" s="922">
        <f>M34+1</f>
        <v>1.019</v>
      </c>
      <c r="L35" s="923"/>
      <c r="M35" s="922">
        <f>K35*M34+K35</f>
        <v>1.0383609999999999</v>
      </c>
      <c r="N35" s="923"/>
      <c r="O35" s="922">
        <f>M35*O34+M35</f>
        <v>1.0632816639999998</v>
      </c>
      <c r="P35" s="923"/>
    </row>
    <row r="39" spans="2:8" ht="11.25">
      <c r="B39" s="926"/>
      <c r="C39" s="926"/>
      <c r="D39" s="926"/>
      <c r="E39" s="926"/>
      <c r="F39" s="926"/>
      <c r="G39" s="926"/>
      <c r="H39" s="926"/>
    </row>
  </sheetData>
  <sheetProtection selectLockedCells="1" selectUnlockedCells="1"/>
  <mergeCells count="37">
    <mergeCell ref="D8:P8"/>
    <mergeCell ref="H9:H10"/>
    <mergeCell ref="M33:N33"/>
    <mergeCell ref="O33:P33"/>
    <mergeCell ref="I9:J9"/>
    <mergeCell ref="K9:P9"/>
    <mergeCell ref="B19:C20"/>
    <mergeCell ref="D19:P19"/>
    <mergeCell ref="I20:J20"/>
    <mergeCell ref="K20:P20"/>
    <mergeCell ref="F20:F21"/>
    <mergeCell ref="H20:H21"/>
    <mergeCell ref="C1:N1"/>
    <mergeCell ref="O1:P1"/>
    <mergeCell ref="B8:C9"/>
    <mergeCell ref="B4:P4"/>
    <mergeCell ref="B5:P5"/>
    <mergeCell ref="B6:D6"/>
    <mergeCell ref="B7:P7"/>
    <mergeCell ref="B2:P2"/>
    <mergeCell ref="B3:P3"/>
    <mergeCell ref="F9:F10"/>
    <mergeCell ref="B31:B33"/>
    <mergeCell ref="C31:P31"/>
    <mergeCell ref="O34:P34"/>
    <mergeCell ref="C32:H32"/>
    <mergeCell ref="I32:J32"/>
    <mergeCell ref="K32:P32"/>
    <mergeCell ref="O35:P35"/>
    <mergeCell ref="M34:N34"/>
    <mergeCell ref="B39:H39"/>
    <mergeCell ref="K35:L35"/>
    <mergeCell ref="M35:N35"/>
    <mergeCell ref="C35:D35"/>
    <mergeCell ref="E35:F35"/>
    <mergeCell ref="G35:H35"/>
    <mergeCell ref="I35:J35"/>
  </mergeCells>
  <printOptions/>
  <pageMargins left="0.1968503937007874" right="0.1968503937007874" top="0.3937007874015748"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P24"/>
  <sheetViews>
    <sheetView zoomScale="115" zoomScaleNormal="115" zoomScalePageLayoutView="0" workbookViewId="0" topLeftCell="A1">
      <selection activeCell="N17" sqref="N17"/>
    </sheetView>
  </sheetViews>
  <sheetFormatPr defaultColWidth="9.140625" defaultRowHeight="24" customHeight="1"/>
  <cols>
    <col min="1" max="1" width="17.421875" style="55" customWidth="1"/>
    <col min="2" max="2" width="17.7109375" style="52" customWidth="1"/>
    <col min="3" max="3" width="2.8515625" style="126" customWidth="1"/>
    <col min="4" max="4" width="8.421875" style="60" customWidth="1"/>
    <col min="5" max="5" width="7.7109375" style="55" customWidth="1"/>
    <col min="6" max="6" width="8.421875" style="55" customWidth="1"/>
    <col min="7" max="7" width="7.7109375" style="55" customWidth="1"/>
    <col min="8" max="8" width="8.140625" style="55" customWidth="1"/>
    <col min="9" max="14" width="8.421875" style="55" customWidth="1"/>
    <col min="15" max="15" width="8.57421875" style="55" customWidth="1"/>
    <col min="16" max="16" width="8.28125" style="55" customWidth="1"/>
    <col min="17" max="17" width="11.28125" style="52" customWidth="1"/>
    <col min="18" max="16384" width="9.140625" style="52" customWidth="1"/>
  </cols>
  <sheetData>
    <row r="1" spans="1:16" s="406" customFormat="1" ht="14.25" customHeight="1">
      <c r="A1" s="964" t="s">
        <v>571</v>
      </c>
      <c r="B1" s="965"/>
      <c r="C1" s="966" t="s">
        <v>210</v>
      </c>
      <c r="D1" s="967"/>
      <c r="E1" s="967"/>
      <c r="F1" s="967"/>
      <c r="G1" s="967"/>
      <c r="H1" s="967"/>
      <c r="I1" s="967"/>
      <c r="J1" s="967"/>
      <c r="K1" s="967"/>
      <c r="L1" s="967"/>
      <c r="M1" s="967"/>
      <c r="N1" s="967"/>
      <c r="O1" s="967"/>
      <c r="P1" s="408" t="s">
        <v>349</v>
      </c>
    </row>
    <row r="2" spans="1:16" s="406" customFormat="1" ht="12" customHeight="1">
      <c r="A2" s="968" t="s">
        <v>414</v>
      </c>
      <c r="B2" s="969"/>
      <c r="C2" s="969"/>
      <c r="D2" s="969"/>
      <c r="E2" s="969"/>
      <c r="F2" s="969"/>
      <c r="G2" s="969"/>
      <c r="H2" s="969"/>
      <c r="I2" s="969"/>
      <c r="J2" s="969"/>
      <c r="K2" s="969"/>
      <c r="L2" s="969"/>
      <c r="M2" s="969"/>
      <c r="N2" s="969"/>
      <c r="O2" s="969"/>
      <c r="P2" s="970"/>
    </row>
    <row r="3" spans="1:16" s="406" customFormat="1" ht="12" customHeight="1">
      <c r="A3" s="971" t="s">
        <v>451</v>
      </c>
      <c r="B3" s="972"/>
      <c r="C3" s="972"/>
      <c r="D3" s="972"/>
      <c r="E3" s="972"/>
      <c r="F3" s="972"/>
      <c r="G3" s="972"/>
      <c r="H3" s="972"/>
      <c r="I3" s="972"/>
      <c r="J3" s="972"/>
      <c r="K3" s="972"/>
      <c r="L3" s="972"/>
      <c r="M3" s="972"/>
      <c r="N3" s="972"/>
      <c r="O3" s="972"/>
      <c r="P3" s="973"/>
    </row>
    <row r="4" spans="1:16" s="407" customFormat="1" ht="12" customHeight="1">
      <c r="A4" s="974" t="s">
        <v>585</v>
      </c>
      <c r="B4" s="975"/>
      <c r="C4" s="975"/>
      <c r="D4" s="975"/>
      <c r="E4" s="975"/>
      <c r="F4" s="975"/>
      <c r="G4" s="975"/>
      <c r="H4" s="975"/>
      <c r="I4" s="975"/>
      <c r="J4" s="975"/>
      <c r="K4" s="975"/>
      <c r="L4" s="975"/>
      <c r="M4" s="975"/>
      <c r="N4" s="975"/>
      <c r="O4" s="975"/>
      <c r="P4" s="976"/>
    </row>
    <row r="5" spans="1:16" s="407" customFormat="1" ht="14.25" customHeight="1">
      <c r="A5" s="977" t="s">
        <v>1083</v>
      </c>
      <c r="B5" s="978"/>
      <c r="C5" s="978"/>
      <c r="D5" s="978"/>
      <c r="E5" s="978"/>
      <c r="F5" s="978"/>
      <c r="G5" s="978"/>
      <c r="H5" s="978"/>
      <c r="I5" s="978"/>
      <c r="J5" s="978"/>
      <c r="K5" s="978"/>
      <c r="L5" s="978"/>
      <c r="M5" s="978"/>
      <c r="N5" s="978"/>
      <c r="O5" s="978"/>
      <c r="P5" s="979"/>
    </row>
    <row r="6" spans="1:16" s="56" customFormat="1" ht="12" customHeight="1">
      <c r="A6" s="986" t="s">
        <v>541</v>
      </c>
      <c r="B6" s="987"/>
      <c r="C6" s="987"/>
      <c r="D6" s="987"/>
      <c r="E6" s="987"/>
      <c r="F6" s="987"/>
      <c r="G6" s="987"/>
      <c r="H6" s="987"/>
      <c r="I6" s="987"/>
      <c r="J6" s="987"/>
      <c r="K6" s="987"/>
      <c r="L6" s="987"/>
      <c r="M6" s="988"/>
      <c r="N6" s="985" t="str">
        <f>'TAB. P - PARÂMETROS'!B8</f>
        <v>ANEXO do Projeto de Lei n°. 051/2015 </v>
      </c>
      <c r="O6" s="985"/>
      <c r="P6" s="985"/>
    </row>
    <row r="7" spans="1:16" s="56" customFormat="1" ht="21" customHeight="1">
      <c r="A7" s="981" t="s">
        <v>525</v>
      </c>
      <c r="B7" s="983" t="s">
        <v>42</v>
      </c>
      <c r="C7" s="997" t="s">
        <v>586</v>
      </c>
      <c r="D7" s="999" t="s">
        <v>526</v>
      </c>
      <c r="E7" s="1000"/>
      <c r="F7" s="1001"/>
      <c r="G7" s="377" t="s">
        <v>527</v>
      </c>
      <c r="H7" s="820"/>
      <c r="I7" s="1002" t="s">
        <v>1042</v>
      </c>
      <c r="J7" s="1003"/>
      <c r="K7" s="1004"/>
      <c r="L7" s="471" t="s">
        <v>176</v>
      </c>
      <c r="M7" s="494" t="s">
        <v>1152</v>
      </c>
      <c r="N7" s="122" t="s">
        <v>1126</v>
      </c>
      <c r="O7" s="980" t="s">
        <v>1127</v>
      </c>
      <c r="P7" s="980"/>
    </row>
    <row r="8" spans="1:16" s="56" customFormat="1" ht="49.5" customHeight="1">
      <c r="A8" s="982"/>
      <c r="B8" s="984"/>
      <c r="C8" s="998"/>
      <c r="D8" s="82" t="s">
        <v>539</v>
      </c>
      <c r="E8" s="82" t="s">
        <v>162</v>
      </c>
      <c r="F8" s="82" t="s">
        <v>163</v>
      </c>
      <c r="G8" s="82" t="s">
        <v>164</v>
      </c>
      <c r="H8" s="82" t="s">
        <v>1108</v>
      </c>
      <c r="I8" s="479" t="s">
        <v>255</v>
      </c>
      <c r="J8" s="479" t="s">
        <v>253</v>
      </c>
      <c r="K8" s="479" t="s">
        <v>56</v>
      </c>
      <c r="L8" s="479" t="s">
        <v>398</v>
      </c>
      <c r="M8" s="474" t="s">
        <v>57</v>
      </c>
      <c r="N8" s="122" t="s">
        <v>616</v>
      </c>
      <c r="O8" s="82" t="s">
        <v>617</v>
      </c>
      <c r="P8" s="82" t="s">
        <v>618</v>
      </c>
    </row>
    <row r="9" spans="1:16" s="56" customFormat="1" ht="43.5" customHeight="1">
      <c r="A9" s="982"/>
      <c r="B9" s="984"/>
      <c r="C9" s="998"/>
      <c r="D9" s="821" t="s">
        <v>41</v>
      </c>
      <c r="E9" s="821" t="s">
        <v>41</v>
      </c>
      <c r="F9" s="821" t="s">
        <v>41</v>
      </c>
      <c r="G9" s="821" t="s">
        <v>40</v>
      </c>
      <c r="H9" s="821" t="s">
        <v>1138</v>
      </c>
      <c r="I9" s="495">
        <v>0.065</v>
      </c>
      <c r="J9" s="495">
        <v>0.0584</v>
      </c>
      <c r="K9" s="495">
        <v>0.0591</v>
      </c>
      <c r="L9" s="496"/>
      <c r="M9" s="818">
        <v>0.0617</v>
      </c>
      <c r="N9" s="819">
        <f>'TAB. P - PARÂMETROS'!E11</f>
        <v>0.0562</v>
      </c>
      <c r="O9" s="819">
        <f>'TAB. P - PARÂMETROS'!F11</f>
        <v>0.0513</v>
      </c>
      <c r="P9" s="819">
        <f>'TAB. P - PARÂMETROS'!G11</f>
        <v>0.0489</v>
      </c>
    </row>
    <row r="10" spans="1:16" s="67" customFormat="1" ht="34.5" customHeight="1">
      <c r="A10" s="982"/>
      <c r="B10" s="984"/>
      <c r="C10" s="998"/>
      <c r="D10" s="102">
        <v>2012</v>
      </c>
      <c r="E10" s="102">
        <v>2013</v>
      </c>
      <c r="F10" s="102">
        <v>2014</v>
      </c>
      <c r="G10" s="102">
        <v>2015</v>
      </c>
      <c r="H10" s="498" t="s">
        <v>1139</v>
      </c>
      <c r="I10" s="472" t="s">
        <v>73</v>
      </c>
      <c r="J10" s="472" t="s">
        <v>1037</v>
      </c>
      <c r="K10" s="472" t="s">
        <v>1078</v>
      </c>
      <c r="L10" s="473" t="s">
        <v>397</v>
      </c>
      <c r="M10" s="472" t="s">
        <v>1086</v>
      </c>
      <c r="N10" s="102">
        <v>2016</v>
      </c>
      <c r="O10" s="102">
        <v>2017</v>
      </c>
      <c r="P10" s="102">
        <v>2018</v>
      </c>
    </row>
    <row r="11" spans="1:16" s="50" customFormat="1" ht="23.25" customHeight="1">
      <c r="A11" s="118" t="s">
        <v>170</v>
      </c>
      <c r="B11" s="375" t="s">
        <v>39</v>
      </c>
      <c r="C11" s="125">
        <v>1</v>
      </c>
      <c r="D11" s="493">
        <f>D12+D16+D20</f>
        <v>9311987.549999999</v>
      </c>
      <c r="E11" s="493">
        <f>E12+E16+E20</f>
        <v>9110230.28</v>
      </c>
      <c r="F11" s="493">
        <f aca="true" t="shared" si="0" ref="F11:P11">F12+F16+F20</f>
        <v>10215104.9</v>
      </c>
      <c r="G11" s="493">
        <f>G12+G16+G20</f>
        <v>11914000</v>
      </c>
      <c r="H11" s="493">
        <f>H12+H16+H20</f>
        <v>5860606.05</v>
      </c>
      <c r="I11" s="493">
        <f t="shared" si="0"/>
        <v>11116774.433907818</v>
      </c>
      <c r="J11" s="493">
        <f t="shared" si="0"/>
        <v>10212125.751097605</v>
      </c>
      <c r="K11" s="493">
        <f t="shared" si="0"/>
        <v>10818817.59959</v>
      </c>
      <c r="L11" s="493">
        <f t="shared" si="0"/>
        <v>10715905.928198474</v>
      </c>
      <c r="M11" s="493">
        <f t="shared" si="0"/>
        <v>11377077.323968321</v>
      </c>
      <c r="N11" s="493">
        <f t="shared" si="0"/>
        <v>11821893.220134826</v>
      </c>
      <c r="O11" s="493">
        <f t="shared" si="0"/>
        <v>11532461.316203108</v>
      </c>
      <c r="P11" s="493">
        <f t="shared" si="0"/>
        <v>12356587.558981955</v>
      </c>
    </row>
    <row r="12" spans="1:16" s="67" customFormat="1" ht="16.5" customHeight="1">
      <c r="A12" s="129" t="s">
        <v>146</v>
      </c>
      <c r="B12" s="130" t="s">
        <v>37</v>
      </c>
      <c r="C12" s="100">
        <v>2</v>
      </c>
      <c r="D12" s="492">
        <f>SUM(D13:D15)</f>
        <v>6297877.039999999</v>
      </c>
      <c r="E12" s="492">
        <f>SUM(E13:E15)</f>
        <v>7620529.13</v>
      </c>
      <c r="F12" s="492">
        <f>SUM(F13:F15)</f>
        <v>8545411.42</v>
      </c>
      <c r="G12" s="492">
        <f>SUM(G13:G15)</f>
        <v>9527799</v>
      </c>
      <c r="H12" s="492">
        <f>SUM(H13:H15)</f>
        <v>4399082.34</v>
      </c>
      <c r="I12" s="492">
        <f aca="true" t="shared" si="1" ref="I12:P12">SUM(I13:I15)</f>
        <v>7518489.268831448</v>
      </c>
      <c r="J12" s="492">
        <f t="shared" si="1"/>
        <v>8542243.101835448</v>
      </c>
      <c r="K12" s="492">
        <f t="shared" si="1"/>
        <v>9050445.234922</v>
      </c>
      <c r="L12" s="492">
        <f t="shared" si="1"/>
        <v>8370392.535196299</v>
      </c>
      <c r="M12" s="492">
        <f>SUM(M13:M15)</f>
        <v>8886845.75461791</v>
      </c>
      <c r="N12" s="492">
        <f>SUM(N13:N15)</f>
        <v>10240522.24570163</v>
      </c>
      <c r="O12" s="492">
        <f t="shared" si="1"/>
        <v>11028357.813304808</v>
      </c>
      <c r="P12" s="492">
        <f t="shared" si="1"/>
        <v>11845503.070371836</v>
      </c>
    </row>
    <row r="13" spans="1:16" s="67" customFormat="1" ht="23.25" customHeight="1">
      <c r="A13" s="96" t="s">
        <v>530</v>
      </c>
      <c r="B13" s="197" t="s">
        <v>36</v>
      </c>
      <c r="C13" s="97">
        <v>3</v>
      </c>
      <c r="D13" s="470">
        <v>2755249.28</v>
      </c>
      <c r="E13" s="470">
        <v>3744102.57</v>
      </c>
      <c r="F13" s="470">
        <v>4322475.51</v>
      </c>
      <c r="G13" s="470">
        <v>5328731</v>
      </c>
      <c r="H13" s="470">
        <v>2106534.82</v>
      </c>
      <c r="I13" s="475">
        <f>SUM(((D13*$I$9+D13)+((D13*$I$9+D13)*$J$9))*$K$9)+(D13*$I$9+D13)+((D13*$I$9+D13)*$J$9)</f>
        <v>3289253.1900933357</v>
      </c>
      <c r="J13" s="476">
        <f>SUM(E13*$J$9+E13)+((E13*$J$9+E13)*$K$9)</f>
        <v>4196957.167349201</v>
      </c>
      <c r="K13" s="476">
        <f>SUM(F13*$K$9+F13)</f>
        <v>4577933.812640999</v>
      </c>
      <c r="L13" s="475">
        <f>SUM(I13+J13+K13)/3</f>
        <v>4021381.3900278453</v>
      </c>
      <c r="M13" s="476">
        <f>SUM(L13*$M$9+L13)</f>
        <v>4269500.621792563</v>
      </c>
      <c r="N13" s="478">
        <f>'III. PESSOAL EXEC. LEG. X RCL '!I11</f>
        <v>5216239.854618598</v>
      </c>
      <c r="O13" s="478">
        <f>'III. PESSOAL EXEC. LEG. X RCL '!J11</f>
        <v>5765153.5899654655</v>
      </c>
      <c r="P13" s="478">
        <f>'III. PESSOAL EXEC. LEG. X RCL '!K11</f>
        <v>6342771.30397995</v>
      </c>
    </row>
    <row r="14" spans="1:16" s="67" customFormat="1" ht="28.5" customHeight="1">
      <c r="A14" s="96" t="s">
        <v>147</v>
      </c>
      <c r="B14" s="128" t="s">
        <v>1137</v>
      </c>
      <c r="C14" s="97">
        <v>4</v>
      </c>
      <c r="D14" s="470">
        <v>0</v>
      </c>
      <c r="E14" s="470">
        <v>0</v>
      </c>
      <c r="F14" s="470">
        <v>0</v>
      </c>
      <c r="G14" s="470">
        <v>91000</v>
      </c>
      <c r="H14" s="470">
        <v>0</v>
      </c>
      <c r="I14" s="475">
        <f>SUM(((D14*$I$9+D14)+((D14*$I$9+D14)*$J$9))*$K$9)+(D14*$I$9+D14)+((D14*$I$9+D14)*$J$9)</f>
        <v>0</v>
      </c>
      <c r="J14" s="476">
        <f>SUM(E14*$J$9+E14)+((E14*$J$9+E14)*$K$9)</f>
        <v>0</v>
      </c>
      <c r="K14" s="476">
        <f>SUM(F14*$K$9+F14)</f>
        <v>0</v>
      </c>
      <c r="L14" s="475">
        <f>SUM(I14+J14+K14)/3</f>
        <v>0</v>
      </c>
      <c r="M14" s="476">
        <f>SUM(L14*$M$9+L14)</f>
        <v>0</v>
      </c>
      <c r="N14" s="477">
        <f>SUM(N19/12*48)*4%+N19/12*'TAB. P - PARÂMETROS'!E22+(N19/12*48)*4%+N19/4</f>
        <v>98674.0625</v>
      </c>
      <c r="O14" s="477">
        <f>SUM(O19/12*36)*4%+O19/12*'TAB. P - PARÂMETROS'!F22+(O19/12*36)*4%+O19/4</f>
        <v>84912.1875</v>
      </c>
      <c r="P14" s="477">
        <f>SUM(P19/12*24)*4%+P19/12*'TAB. P - PARÂMETROS'!G22+(P19/12*24)*4%+P19/4</f>
        <v>71221.25</v>
      </c>
    </row>
    <row r="15" spans="1:16" s="67" customFormat="1" ht="24" customHeight="1">
      <c r="A15" s="96" t="s">
        <v>144</v>
      </c>
      <c r="B15" s="128" t="s">
        <v>1136</v>
      </c>
      <c r="C15" s="97">
        <v>5</v>
      </c>
      <c r="D15" s="470">
        <v>3542627.76</v>
      </c>
      <c r="E15" s="470">
        <v>3876426.56</v>
      </c>
      <c r="F15" s="470">
        <v>4222935.91</v>
      </c>
      <c r="G15" s="470">
        <v>4108068</v>
      </c>
      <c r="H15" s="470">
        <v>2292547.52</v>
      </c>
      <c r="I15" s="475">
        <f>SUM(((D15*$I$9+D15)+((D15*$I$9+D15)*$J$9))*$K$9)+(D15*$I$9+D15)+((D15*$I$9+D15)*$J$9)</f>
        <v>4229236.078738112</v>
      </c>
      <c r="J15" s="476">
        <f>SUM(E15*$J$9+E15)+((E15*$J$9+E15)*$K$9)</f>
        <v>4345285.934486247</v>
      </c>
      <c r="K15" s="476">
        <f>SUM(F15*$K$9+F15)</f>
        <v>4472511.422281</v>
      </c>
      <c r="L15" s="475">
        <f>SUM(I15+J15+K15)/3</f>
        <v>4349011.145168453</v>
      </c>
      <c r="M15" s="476">
        <f>SUM(L15*$M$9+L15)</f>
        <v>4617345.132825347</v>
      </c>
      <c r="N15" s="469">
        <f>SUM(M15*N9+M15)*'TAB. P - PARÂMETROS'!E15+M15*N9+M15</f>
        <v>4925608.328583033</v>
      </c>
      <c r="O15" s="469">
        <f>SUM(N15*O9+N15)*'TAB. P - PARÂMETROS'!F15+N15*O9+N15</f>
        <v>5178292.0358393425</v>
      </c>
      <c r="P15" s="469">
        <f>SUM(O15*P9+O15)*'TAB. P - PARÂMETROS'!G15+O15*P9+O15</f>
        <v>5431510.516391886</v>
      </c>
    </row>
    <row r="16" spans="1:16" s="67" customFormat="1" ht="15.75" customHeight="1">
      <c r="A16" s="129" t="s">
        <v>148</v>
      </c>
      <c r="B16" s="130" t="s">
        <v>38</v>
      </c>
      <c r="C16" s="100">
        <v>6</v>
      </c>
      <c r="D16" s="492">
        <f>SUM(D17:D19)</f>
        <v>3014110.51</v>
      </c>
      <c r="E16" s="492">
        <f>SUM(E17:E19)</f>
        <v>1489701.15</v>
      </c>
      <c r="F16" s="492">
        <f>SUM(F17:F19)</f>
        <v>1669693.48</v>
      </c>
      <c r="G16" s="492">
        <f>SUM(G17:G19)</f>
        <v>2239201</v>
      </c>
      <c r="H16" s="492">
        <f>SUM(H17:H19)</f>
        <v>1461523.71</v>
      </c>
      <c r="I16" s="492">
        <f aca="true" t="shared" si="2" ref="I16:P16">SUM(I17:I19)</f>
        <v>3598285.1650763704</v>
      </c>
      <c r="J16" s="492">
        <f t="shared" si="2"/>
        <v>1669882.6492621559</v>
      </c>
      <c r="K16" s="492">
        <f t="shared" si="2"/>
        <v>1768372.364668</v>
      </c>
      <c r="L16" s="492">
        <f t="shared" si="2"/>
        <v>2345513.3930021753</v>
      </c>
      <c r="M16" s="492">
        <f t="shared" si="2"/>
        <v>2490231.5693504093</v>
      </c>
      <c r="N16" s="492">
        <f>SUM(N17:N19)</f>
        <v>1369064.4729371434</v>
      </c>
      <c r="O16" s="492">
        <f t="shared" si="2"/>
        <v>288339.1330574975</v>
      </c>
      <c r="P16" s="492">
        <f t="shared" si="2"/>
        <v>290967.9469705904</v>
      </c>
    </row>
    <row r="17" spans="1:16" s="67" customFormat="1" ht="48.75" customHeight="1">
      <c r="A17" s="96" t="s">
        <v>149</v>
      </c>
      <c r="B17" s="376" t="s">
        <v>1135</v>
      </c>
      <c r="C17" s="97">
        <v>7</v>
      </c>
      <c r="D17" s="470">
        <v>3014110.51</v>
      </c>
      <c r="E17" s="470">
        <v>1489701.15</v>
      </c>
      <c r="F17" s="470">
        <v>1669693.48</v>
      </c>
      <c r="G17" s="470">
        <v>2224701</v>
      </c>
      <c r="H17" s="470">
        <v>1461523.71</v>
      </c>
      <c r="I17" s="475">
        <f>SUM(((D17*$I$9+D17)+((D17*$I$9+D17)*$J$9))*$K$9)+(D17*$I$9+D17)+((D17*$I$9+D17)*$J$9)</f>
        <v>3598285.1650763704</v>
      </c>
      <c r="J17" s="476">
        <f>SUM(E17*$J$9+E17)+((E17*$J$9+E17)*$K$9)</f>
        <v>1669882.6492621559</v>
      </c>
      <c r="K17" s="476">
        <f>SUM(F17*$K$9+F17)</f>
        <v>1768372.364668</v>
      </c>
      <c r="L17" s="475">
        <f>SUM(I17+J17+K17)/3</f>
        <v>2345513.3930021753</v>
      </c>
      <c r="M17" s="476">
        <f>SUM(L17*$M$9+L17)</f>
        <v>2490231.5693504093</v>
      </c>
      <c r="N17" s="469">
        <f>'VLR 2012 a 2018 ATUALIZ média'!O13*'TAB. P - PARÂMETROS'!E19+'VLR 2012 a 2018 ATUALIZ média'!O97</f>
        <v>1198814.4729371434</v>
      </c>
      <c r="O17" s="469">
        <f>'VLR 2012 a 2018 ATUALIZ média'!P13*'TAB. P - PARÂMETROS'!F19+'VLR 2012 a 2018 ATUALIZ média'!P97</f>
        <v>118089.13305749749</v>
      </c>
      <c r="P17" s="469">
        <f>'VLR 2012 a 2018 ATUALIZ média'!Q13*'TAB. P - PARÂMETROS'!G19+'VLR 2012 a 2018 ATUALIZ média'!Q97</f>
        <v>120717.94697059036</v>
      </c>
    </row>
    <row r="18" spans="1:16" s="67" customFormat="1" ht="13.5" customHeight="1">
      <c r="A18" s="96" t="s">
        <v>150</v>
      </c>
      <c r="B18" s="121">
        <v>0</v>
      </c>
      <c r="C18" s="97">
        <v>8</v>
      </c>
      <c r="D18" s="470">
        <v>0</v>
      </c>
      <c r="E18" s="470">
        <v>0</v>
      </c>
      <c r="F18" s="470">
        <v>0</v>
      </c>
      <c r="G18" s="470">
        <v>0</v>
      </c>
      <c r="H18" s="470">
        <v>0</v>
      </c>
      <c r="I18" s="475">
        <f>SUM(((D18*$I$9+D18)+((D18*$I$9+D18)*$J$9))*$K$9)+(D18*$I$9+D18)+((D18*$I$9+D18)*$J$9)</f>
        <v>0</v>
      </c>
      <c r="J18" s="476">
        <f>SUM(E18*$J$9+E18)+((E18*$J$9+E18)*$K$9)</f>
        <v>0</v>
      </c>
      <c r="K18" s="476">
        <f>SUM(F18*$K$9+F18)</f>
        <v>0</v>
      </c>
      <c r="L18" s="475">
        <f>SUM(I18+J18+K18)/3</f>
        <v>0</v>
      </c>
      <c r="M18" s="476">
        <f>SUM(L18*$M$9+L18)</f>
        <v>0</v>
      </c>
      <c r="N18" s="477">
        <v>0</v>
      </c>
      <c r="O18" s="477">
        <v>0</v>
      </c>
      <c r="P18" s="477">
        <v>0</v>
      </c>
    </row>
    <row r="19" spans="1:16" s="67" customFormat="1" ht="40.5" customHeight="1">
      <c r="A19" s="96" t="s">
        <v>151</v>
      </c>
      <c r="B19" s="128" t="s">
        <v>1131</v>
      </c>
      <c r="C19" s="97">
        <v>9</v>
      </c>
      <c r="D19" s="470">
        <v>0</v>
      </c>
      <c r="E19" s="470">
        <v>0</v>
      </c>
      <c r="F19" s="470">
        <v>0</v>
      </c>
      <c r="G19" s="470">
        <v>14500</v>
      </c>
      <c r="H19" s="470">
        <v>0</v>
      </c>
      <c r="I19" s="475">
        <f>SUM(((D19*$I$9+D19)+((D19*$I$9+D19)*$J$9))*$K$9)+(D19*$I$9+D19)+((D19*$I$9+D19)*$J$9)</f>
        <v>0</v>
      </c>
      <c r="J19" s="476">
        <f>SUM(E19*$J$9+E19)+((E19*$J$9+E19)*$K$9)</f>
        <v>0</v>
      </c>
      <c r="K19" s="476">
        <f>SUM(F19*$K$9+F19)</f>
        <v>0</v>
      </c>
      <c r="L19" s="475">
        <f>SUM(I19+J19+K19)/3</f>
        <v>0</v>
      </c>
      <c r="M19" s="476">
        <f>SUM(L19*$M$9+L19)</f>
        <v>0</v>
      </c>
      <c r="N19" s="477">
        <v>170250</v>
      </c>
      <c r="O19" s="477">
        <v>170250</v>
      </c>
      <c r="P19" s="477">
        <v>170250</v>
      </c>
    </row>
    <row r="20" spans="1:16" s="67" customFormat="1" ht="27.75" customHeight="1">
      <c r="A20" s="823" t="s">
        <v>153</v>
      </c>
      <c r="B20" s="824" t="s">
        <v>43</v>
      </c>
      <c r="C20" s="825">
        <v>10</v>
      </c>
      <c r="D20" s="822">
        <v>0</v>
      </c>
      <c r="E20" s="822">
        <v>0</v>
      </c>
      <c r="F20" s="822">
        <v>0</v>
      </c>
      <c r="G20" s="822">
        <v>147000</v>
      </c>
      <c r="H20" s="822">
        <v>0</v>
      </c>
      <c r="I20" s="475">
        <f>SUM(((D20*$I$9+D20)+((D20*$I$9+D20)*$J$9))*$K$9)+(D20*$I$9+D20)+((D20*$I$9+D20)*$J$9)</f>
        <v>0</v>
      </c>
      <c r="J20" s="476">
        <f>SUM(E20*$J$9+E20)+((E20*$J$9+E20)*$K$9)</f>
        <v>0</v>
      </c>
      <c r="K20" s="476">
        <f>SUM(F20*$K$9+F20)</f>
        <v>0</v>
      </c>
      <c r="L20" s="475">
        <f>SUM(I20+J20+K20)/3</f>
        <v>0</v>
      </c>
      <c r="M20" s="476">
        <f>SUM(L20*$M$9+L20)</f>
        <v>0</v>
      </c>
      <c r="N20" s="492">
        <f>'X-ANEXO DOS RISCOS FISCAIS'!J23+'X-ANEXO DOS RISCOS FISCAIS'!J25</f>
        <v>212306.50149605228</v>
      </c>
      <c r="O20" s="492">
        <f>'X-ANEXO DOS RISCOS FISCAIS'!K23+'X-ANEXO DOS RISCOS FISCAIS'!K25</f>
        <v>215764.36984080225</v>
      </c>
      <c r="P20" s="492">
        <f>'X-ANEXO DOS RISCOS FISCAIS'!L23+'X-ANEXO DOS RISCOS FISCAIS'!L25</f>
        <v>220116.54163952867</v>
      </c>
    </row>
    <row r="21" spans="1:16" ht="16.5" customHeight="1">
      <c r="A21" s="833" t="s">
        <v>169</v>
      </c>
      <c r="B21" s="834"/>
      <c r="C21" s="835">
        <v>11</v>
      </c>
      <c r="D21" s="994"/>
      <c r="E21" s="995"/>
      <c r="F21" s="995"/>
      <c r="G21" s="995"/>
      <c r="H21" s="995"/>
      <c r="I21" s="995"/>
      <c r="J21" s="995"/>
      <c r="K21" s="995"/>
      <c r="L21" s="995"/>
      <c r="M21" s="996"/>
      <c r="N21" s="470">
        <f>'VLR 2012 a 2018 ATUALIZ média'!O11</f>
        <v>12093327.882285722</v>
      </c>
      <c r="O21" s="470">
        <f>'VLR 2012 a 2018 ATUALIZ média'!P11</f>
        <v>11808913.305749748</v>
      </c>
      <c r="P21" s="470">
        <f>'VLR 2012 a 2018 ATUALIZ média'!Q11</f>
        <v>12071794.697059035</v>
      </c>
    </row>
    <row r="22" spans="1:16" ht="21" customHeight="1">
      <c r="A22" s="992" t="s">
        <v>1158</v>
      </c>
      <c r="B22" s="993"/>
      <c r="C22" s="835">
        <v>12</v>
      </c>
      <c r="D22" s="994"/>
      <c r="E22" s="995"/>
      <c r="F22" s="995"/>
      <c r="G22" s="995"/>
      <c r="H22" s="995"/>
      <c r="I22" s="995"/>
      <c r="J22" s="995"/>
      <c r="K22" s="995"/>
      <c r="L22" s="995"/>
      <c r="M22" s="996"/>
      <c r="N22" s="476">
        <f>N21-N11</f>
        <v>271434.6621508952</v>
      </c>
      <c r="O22" s="476">
        <f>O21-O11</f>
        <v>276451.98954663984</v>
      </c>
      <c r="P22" s="476">
        <f>P21-P11</f>
        <v>-284792.86192291975</v>
      </c>
    </row>
    <row r="23" spans="1:16" ht="25.5" customHeight="1">
      <c r="A23" s="989" t="s">
        <v>1130</v>
      </c>
      <c r="B23" s="990"/>
      <c r="C23" s="990"/>
      <c r="D23" s="990"/>
      <c r="E23" s="990"/>
      <c r="F23" s="990"/>
      <c r="G23" s="990"/>
      <c r="H23" s="990"/>
      <c r="I23" s="990"/>
      <c r="J23" s="990"/>
      <c r="K23" s="990"/>
      <c r="L23" s="990"/>
      <c r="M23" s="990"/>
      <c r="N23" s="990"/>
      <c r="O23" s="990"/>
      <c r="P23" s="991"/>
    </row>
    <row r="24" spans="1:16" ht="11.25" customHeight="1">
      <c r="A24" s="963"/>
      <c r="B24" s="963"/>
      <c r="C24" s="963"/>
      <c r="D24" s="963"/>
      <c r="N24" s="54"/>
      <c r="O24" s="54"/>
      <c r="P24" s="54"/>
    </row>
  </sheetData>
  <sheetProtection/>
  <mergeCells count="19">
    <mergeCell ref="N6:P6"/>
    <mergeCell ref="A6:M6"/>
    <mergeCell ref="A23:P23"/>
    <mergeCell ref="A22:B22"/>
    <mergeCell ref="D21:M21"/>
    <mergeCell ref="D22:M22"/>
    <mergeCell ref="C7:C10"/>
    <mergeCell ref="D7:F7"/>
    <mergeCell ref="I7:K7"/>
    <mergeCell ref="A24:D24"/>
    <mergeCell ref="A1:B1"/>
    <mergeCell ref="C1:O1"/>
    <mergeCell ref="A2:P2"/>
    <mergeCell ref="A3:P3"/>
    <mergeCell ref="A4:P4"/>
    <mergeCell ref="A5:P5"/>
    <mergeCell ref="O7:P7"/>
    <mergeCell ref="A7:A10"/>
    <mergeCell ref="B7:B10"/>
  </mergeCells>
  <printOptions/>
  <pageMargins left="0.1968503937007874" right="0.1968503937007874" top="0.3937007874015748"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Plan3">
    <pageSetUpPr fitToPage="1"/>
  </sheetPr>
  <dimension ref="A1:O82"/>
  <sheetViews>
    <sheetView showGridLines="0" zoomScaleSheetLayoutView="70" zoomScalePageLayoutView="0" workbookViewId="0" topLeftCell="C1">
      <pane ySplit="9" topLeftCell="A10" activePane="bottomLeft" state="frozen"/>
      <selection pane="topLeft" activeCell="A1" sqref="A1"/>
      <selection pane="bottomLeft" activeCell="E35" sqref="E35"/>
    </sheetView>
  </sheetViews>
  <sheetFormatPr defaultColWidth="7.8515625" defaultRowHeight="24" customHeight="1"/>
  <cols>
    <col min="1" max="1" width="2.140625" style="56" customWidth="1"/>
    <col min="2" max="2" width="45.7109375" style="52" customWidth="1"/>
    <col min="3" max="3" width="4.140625" style="135" customWidth="1"/>
    <col min="4" max="4" width="20.00390625" style="135" customWidth="1"/>
    <col min="5" max="5" width="13.00390625" style="56" customWidth="1"/>
    <col min="6" max="8" width="13.00390625" style="52" customWidth="1"/>
    <col min="9" max="9" width="13.140625" style="52" customWidth="1"/>
    <col min="10" max="12" width="13.00390625" style="52" customWidth="1"/>
    <col min="13" max="13" width="4.8515625" style="123" customWidth="1"/>
    <col min="14" max="15" width="7.8515625" style="123" customWidth="1"/>
    <col min="16" max="16384" width="7.8515625" style="52" customWidth="1"/>
  </cols>
  <sheetData>
    <row r="1" spans="1:15" s="325" customFormat="1" ht="19.5" customHeight="1">
      <c r="A1" s="484"/>
      <c r="B1" s="141" t="s">
        <v>572</v>
      </c>
      <c r="C1" s="1014" t="s">
        <v>210</v>
      </c>
      <c r="D1" s="1015"/>
      <c r="E1" s="1015"/>
      <c r="F1" s="1015"/>
      <c r="G1" s="1015"/>
      <c r="H1" s="1015"/>
      <c r="I1" s="1015"/>
      <c r="J1" s="1015"/>
      <c r="K1" s="1015"/>
      <c r="L1" s="327" t="s">
        <v>339</v>
      </c>
      <c r="M1" s="324"/>
      <c r="N1" s="324"/>
      <c r="O1" s="324"/>
    </row>
    <row r="2" spans="2:13" ht="16.5" customHeight="1">
      <c r="B2" s="1005" t="s">
        <v>1103</v>
      </c>
      <c r="C2" s="1006"/>
      <c r="D2" s="1006"/>
      <c r="E2" s="1006"/>
      <c r="F2" s="1006"/>
      <c r="G2" s="1006"/>
      <c r="H2" s="1006"/>
      <c r="I2" s="1006"/>
      <c r="J2" s="1006"/>
      <c r="K2" s="1006"/>
      <c r="L2" s="1007"/>
      <c r="M2" s="403"/>
    </row>
    <row r="3" spans="2:12" ht="19.5" customHeight="1">
      <c r="B3" s="1008" t="s">
        <v>228</v>
      </c>
      <c r="C3" s="1009"/>
      <c r="D3" s="1009"/>
      <c r="E3" s="1009"/>
      <c r="F3" s="1009"/>
      <c r="G3" s="1009"/>
      <c r="H3" s="1009"/>
      <c r="I3" s="1009"/>
      <c r="J3" s="1009"/>
      <c r="K3" s="1009"/>
      <c r="L3" s="1010"/>
    </row>
    <row r="4" spans="2:12" ht="16.5" customHeight="1">
      <c r="B4" s="1019" t="s">
        <v>589</v>
      </c>
      <c r="C4" s="1020"/>
      <c r="D4" s="1020"/>
      <c r="E4" s="1020"/>
      <c r="F4" s="1020"/>
      <c r="G4" s="1020"/>
      <c r="H4" s="1020"/>
      <c r="I4" s="1020"/>
      <c r="J4" s="1020"/>
      <c r="K4" s="1020"/>
      <c r="L4" s="1021"/>
    </row>
    <row r="5" spans="2:12" ht="21" customHeight="1">
      <c r="B5" s="1022" t="s">
        <v>1083</v>
      </c>
      <c r="C5" s="1023"/>
      <c r="D5" s="1023"/>
      <c r="E5" s="1023"/>
      <c r="F5" s="1023"/>
      <c r="G5" s="1023"/>
      <c r="H5" s="1023"/>
      <c r="I5" s="1023"/>
      <c r="J5" s="1023"/>
      <c r="K5" s="1023"/>
      <c r="L5" s="1024"/>
    </row>
    <row r="6" spans="2:12" ht="18.75" customHeight="1">
      <c r="B6" s="1011" t="str">
        <f>'TAB. P - PARÂMETROS'!B8</f>
        <v>ANEXO do Projeto de Lei n°. 051/2015 </v>
      </c>
      <c r="C6" s="1012"/>
      <c r="D6" s="1012"/>
      <c r="E6" s="1013"/>
      <c r="F6" s="225"/>
      <c r="G6" s="225"/>
      <c r="H6" s="225"/>
      <c r="I6" s="800"/>
      <c r="J6" s="225"/>
      <c r="K6" s="225"/>
      <c r="L6" s="326"/>
    </row>
    <row r="7" spans="2:15" s="57" customFormat="1" ht="18.75" customHeight="1">
      <c r="B7" s="1025" t="s">
        <v>265</v>
      </c>
      <c r="C7" s="1026"/>
      <c r="D7" s="1026"/>
      <c r="E7" s="1026"/>
      <c r="F7" s="1026"/>
      <c r="G7" s="1026"/>
      <c r="H7" s="1026"/>
      <c r="I7" s="1026"/>
      <c r="J7" s="1026"/>
      <c r="K7" s="1026"/>
      <c r="L7" s="1027"/>
      <c r="M7" s="131"/>
      <c r="N7" s="131"/>
      <c r="O7" s="131"/>
    </row>
    <row r="8" spans="2:15" s="57" customFormat="1" ht="41.25" customHeight="1">
      <c r="B8" s="133" t="s">
        <v>92</v>
      </c>
      <c r="C8" s="297" t="s">
        <v>586</v>
      </c>
      <c r="D8" s="323" t="s">
        <v>91</v>
      </c>
      <c r="E8" s="134" t="s">
        <v>539</v>
      </c>
      <c r="F8" s="134" t="s">
        <v>162</v>
      </c>
      <c r="G8" s="134" t="s">
        <v>163</v>
      </c>
      <c r="H8" s="134" t="s">
        <v>164</v>
      </c>
      <c r="I8" s="801" t="s">
        <v>1115</v>
      </c>
      <c r="J8" s="134" t="s">
        <v>165</v>
      </c>
      <c r="K8" s="134" t="s">
        <v>166</v>
      </c>
      <c r="L8" s="134" t="s">
        <v>167</v>
      </c>
      <c r="M8" s="131"/>
      <c r="N8" s="131"/>
      <c r="O8" s="131"/>
    </row>
    <row r="9" spans="1:15" s="67" customFormat="1" ht="36">
      <c r="A9" s="481"/>
      <c r="B9" s="201" t="s">
        <v>475</v>
      </c>
      <c r="C9" s="201"/>
      <c r="D9" s="323" t="s">
        <v>89</v>
      </c>
      <c r="E9" s="203" t="s">
        <v>409</v>
      </c>
      <c r="F9" s="202" t="s">
        <v>410</v>
      </c>
      <c r="G9" s="203" t="s">
        <v>393</v>
      </c>
      <c r="H9" s="202" t="s">
        <v>294</v>
      </c>
      <c r="I9" s="806" t="s">
        <v>1116</v>
      </c>
      <c r="J9" s="203" t="s">
        <v>45</v>
      </c>
      <c r="K9" s="202" t="s">
        <v>1040</v>
      </c>
      <c r="L9" s="202" t="s">
        <v>1085</v>
      </c>
      <c r="M9" s="204"/>
      <c r="N9" s="204"/>
      <c r="O9" s="204"/>
    </row>
    <row r="10" spans="1:15" s="67" customFormat="1" ht="18" customHeight="1">
      <c r="A10" s="481"/>
      <c r="B10" s="355" t="s">
        <v>201</v>
      </c>
      <c r="C10" s="331" t="s">
        <v>590</v>
      </c>
      <c r="D10" s="331" t="s">
        <v>333</v>
      </c>
      <c r="E10" s="222">
        <f>E11+E16+E22</f>
        <v>9792012.979999999</v>
      </c>
      <c r="F10" s="223">
        <f aca="true" t="shared" si="0" ref="F10:L10">F11+F16+F22</f>
        <v>10425354.83</v>
      </c>
      <c r="G10" s="223">
        <f t="shared" si="0"/>
        <v>11743110.439999998</v>
      </c>
      <c r="H10" s="223">
        <f>H11+H16+H22</f>
        <v>12208300</v>
      </c>
      <c r="I10" s="808">
        <v>12334599.4</v>
      </c>
      <c r="J10" s="223">
        <f t="shared" si="0"/>
        <v>13654338.913444012</v>
      </c>
      <c r="K10" s="223">
        <f t="shared" si="0"/>
        <v>13912190.911881847</v>
      </c>
      <c r="L10" s="223">
        <f t="shared" si="0"/>
        <v>14224957.691215932</v>
      </c>
      <c r="M10" s="204"/>
      <c r="N10" s="204"/>
      <c r="O10" s="204"/>
    </row>
    <row r="11" spans="1:15" s="67" customFormat="1" ht="18" customHeight="1">
      <c r="A11" s="481"/>
      <c r="B11" s="329" t="s">
        <v>476</v>
      </c>
      <c r="C11" s="330" t="s">
        <v>591</v>
      </c>
      <c r="D11" s="330" t="s">
        <v>334</v>
      </c>
      <c r="E11" s="207">
        <f>'VLR 2012 a 2018 ATUALIZ média'!E14</f>
        <v>568605.53</v>
      </c>
      <c r="F11" s="207">
        <f>'VLR 2012 a 2018 ATUALIZ média'!F14</f>
        <v>465827.76</v>
      </c>
      <c r="G11" s="207">
        <f>'VLR 2012 a 2018 ATUALIZ média'!G14</f>
        <v>552829.33</v>
      </c>
      <c r="H11" s="207">
        <f>'VLR 2012 a 2018 ATUALIZ média'!H14</f>
        <v>466000</v>
      </c>
      <c r="I11" s="807">
        <v>602705.79</v>
      </c>
      <c r="J11" s="207">
        <f>'VLR 2012 a 2018 ATUALIZ média'!O14</f>
        <v>697753.6971963912</v>
      </c>
      <c r="K11" s="207">
        <f>'VLR 2012 a 2018 ATUALIZ média'!P14</f>
        <v>709430.5765255225</v>
      </c>
      <c r="L11" s="207">
        <f>'VLR 2012 a 2018 ATUALIZ média'!Q14</f>
        <v>723973.8620760392</v>
      </c>
      <c r="M11" s="204"/>
      <c r="N11" s="204"/>
      <c r="O11" s="204"/>
    </row>
    <row r="12" spans="1:15" s="67" customFormat="1" ht="18" customHeight="1">
      <c r="A12" s="481"/>
      <c r="B12" s="206" t="s">
        <v>383</v>
      </c>
      <c r="C12" s="328" t="s">
        <v>592</v>
      </c>
      <c r="D12" s="328" t="s">
        <v>335</v>
      </c>
      <c r="E12" s="332">
        <f>'VLR 2012 a 2018 ATUALIZ média'!E16</f>
        <v>74099.44</v>
      </c>
      <c r="F12" s="332">
        <f>'VLR 2012 a 2018 ATUALIZ média'!F16</f>
        <v>74230.47</v>
      </c>
      <c r="G12" s="332">
        <f>'VLR 2012 a 2018 ATUALIZ média'!G16</f>
        <v>153143.66</v>
      </c>
      <c r="H12" s="332">
        <f>'VLR 2012 a 2018 ATUALIZ média'!H16</f>
        <v>120000</v>
      </c>
      <c r="I12" s="803">
        <v>181630.17</v>
      </c>
      <c r="J12" s="332">
        <f>'VLR 2012 a 2018 ATUALIZ média'!O16</f>
        <v>175604.54640000002</v>
      </c>
      <c r="K12" s="332">
        <f>'VLR 2012 a 2018 ATUALIZ média'!P16</f>
        <v>177360.59186400002</v>
      </c>
      <c r="L12" s="332">
        <f>'VLR 2012 a 2018 ATUALIZ média'!Q16</f>
        <v>179134.19778264003</v>
      </c>
      <c r="M12" s="204"/>
      <c r="N12" s="204"/>
      <c r="O12" s="204"/>
    </row>
    <row r="13" spans="1:15" s="67" customFormat="1" ht="18" customHeight="1">
      <c r="A13" s="481"/>
      <c r="B13" s="206" t="s">
        <v>384</v>
      </c>
      <c r="C13" s="328" t="s">
        <v>593</v>
      </c>
      <c r="D13" s="328" t="s">
        <v>337</v>
      </c>
      <c r="E13" s="332">
        <f>'VLR 2012 a 2018 ATUALIZ média'!E17</f>
        <v>54531.07</v>
      </c>
      <c r="F13" s="332">
        <f>'VLR 2012 a 2018 ATUALIZ média'!F17</f>
        <v>108884.61</v>
      </c>
      <c r="G13" s="332">
        <f>'VLR 2012 a 2018 ATUALIZ média'!G17</f>
        <v>120564.08</v>
      </c>
      <c r="H13" s="332">
        <f>'VLR 2012 a 2018 ATUALIZ média'!H17</f>
        <v>130000</v>
      </c>
      <c r="I13" s="803">
        <v>32356.27</v>
      </c>
      <c r="J13" s="332">
        <f>'VLR 2012 a 2018 ATUALIZ média'!O17</f>
        <v>113303.72387045954</v>
      </c>
      <c r="K13" s="332">
        <f>'VLR 2012 a 2018 ATUALIZ média'!P17</f>
        <v>115456.49462399827</v>
      </c>
      <c r="L13" s="332">
        <f>'VLR 2012 a 2018 ATUALIZ média'!Q17</f>
        <v>118227.45049497423</v>
      </c>
      <c r="M13" s="204"/>
      <c r="N13" s="204"/>
      <c r="O13" s="204"/>
    </row>
    <row r="14" spans="1:15" s="67" customFormat="1" ht="18.75" customHeight="1">
      <c r="A14" s="481"/>
      <c r="B14" s="206" t="s">
        <v>385</v>
      </c>
      <c r="C14" s="328" t="s">
        <v>594</v>
      </c>
      <c r="D14" s="328" t="s">
        <v>338</v>
      </c>
      <c r="E14" s="332">
        <f>'VLR 2012 a 2018 ATUALIZ média'!E18</f>
        <v>7264.12</v>
      </c>
      <c r="F14" s="332">
        <f>'VLR 2012 a 2018 ATUALIZ média'!F18</f>
        <v>8875.42</v>
      </c>
      <c r="G14" s="332">
        <f>'VLR 2012 a 2018 ATUALIZ média'!G18</f>
        <v>7095.15</v>
      </c>
      <c r="H14" s="332">
        <f>'VLR 2012 a 2018 ATUALIZ média'!H18</f>
        <v>4000</v>
      </c>
      <c r="I14" s="803">
        <v>156275.49</v>
      </c>
      <c r="J14" s="332">
        <f>'VLR 2012 a 2018 ATUALIZ média'!O18</f>
        <v>9398.85522589681</v>
      </c>
      <c r="K14" s="332">
        <f>'VLR 2012 a 2018 ATUALIZ média'!P18</f>
        <v>9577.43347518885</v>
      </c>
      <c r="L14" s="332">
        <f>'VLR 2012 a 2018 ATUALIZ média'!Q18</f>
        <v>9807.291878593382</v>
      </c>
      <c r="M14" s="204"/>
      <c r="N14" s="204"/>
      <c r="O14" s="204"/>
    </row>
    <row r="15" spans="1:15" s="67" customFormat="1" ht="18" customHeight="1">
      <c r="A15" s="481"/>
      <c r="B15" s="206" t="s">
        <v>477</v>
      </c>
      <c r="C15" s="328" t="s">
        <v>595</v>
      </c>
      <c r="D15" s="328" t="s">
        <v>67</v>
      </c>
      <c r="E15" s="332">
        <f aca="true" t="shared" si="1" ref="E15:L15">E11-(E12+E13+E14)</f>
        <v>432710.9</v>
      </c>
      <c r="F15" s="332">
        <f t="shared" si="1"/>
        <v>273837.26</v>
      </c>
      <c r="G15" s="332">
        <f t="shared" si="1"/>
        <v>272026.43999999994</v>
      </c>
      <c r="H15" s="332">
        <f t="shared" si="1"/>
        <v>212000</v>
      </c>
      <c r="I15" s="332">
        <f>I11-(I12+I13+I14)</f>
        <v>232443.86000000004</v>
      </c>
      <c r="J15" s="332">
        <f t="shared" si="1"/>
        <v>399446.5717000348</v>
      </c>
      <c r="K15" s="332">
        <f t="shared" si="1"/>
        <v>407036.0565623354</v>
      </c>
      <c r="L15" s="332">
        <f t="shared" si="1"/>
        <v>416804.92191983154</v>
      </c>
      <c r="M15" s="204"/>
      <c r="N15" s="204"/>
      <c r="O15" s="204"/>
    </row>
    <row r="16" spans="1:15" s="67" customFormat="1" ht="18" customHeight="1">
      <c r="A16" s="481"/>
      <c r="B16" s="329" t="s">
        <v>478</v>
      </c>
      <c r="C16" s="330" t="s">
        <v>596</v>
      </c>
      <c r="D16" s="330" t="s">
        <v>68</v>
      </c>
      <c r="E16" s="207">
        <f>'VLR 2012 a 2018 ATUALIZ média'!E46</f>
        <v>8931388.75</v>
      </c>
      <c r="F16" s="207">
        <f>'VLR 2012 a 2018 ATUALIZ média'!F46</f>
        <v>9743416.85</v>
      </c>
      <c r="G16" s="207">
        <f>'VLR 2012 a 2018 ATUALIZ média'!G46</f>
        <v>10858936.319999998</v>
      </c>
      <c r="H16" s="207">
        <f>'VLR 2012 a 2018 ATUALIZ média'!H46</f>
        <v>11549064</v>
      </c>
      <c r="I16" s="807">
        <v>11277567.3</v>
      </c>
      <c r="J16" s="207">
        <f>'VLR 2012 a 2018 ATUALIZ média'!O46</f>
        <v>12617996.04735711</v>
      </c>
      <c r="K16" s="207">
        <f>'VLR 2012 a 2018 ATUALIZ média'!P46</f>
        <v>12857737.972256893</v>
      </c>
      <c r="L16" s="207">
        <f>'VLR 2012 a 2018 ATUALIZ média'!Q46</f>
        <v>13147680.929326076</v>
      </c>
      <c r="M16" s="204"/>
      <c r="N16" s="204"/>
      <c r="O16" s="204"/>
    </row>
    <row r="17" spans="1:15" s="67" customFormat="1" ht="18" customHeight="1">
      <c r="A17" s="481"/>
      <c r="B17" s="206" t="s">
        <v>20</v>
      </c>
      <c r="C17" s="328" t="s">
        <v>597</v>
      </c>
      <c r="D17" s="328" t="s">
        <v>69</v>
      </c>
      <c r="E17" s="332">
        <f>'VLR 2012 a 2018 ATUALIZ média'!E49</f>
        <v>5232450.46</v>
      </c>
      <c r="F17" s="332">
        <f>'VLR 2012 a 2018 ATUALIZ média'!F49</f>
        <v>5620053.47</v>
      </c>
      <c r="G17" s="332">
        <f>'VLR 2012 a 2018 ATUALIZ média'!G49</f>
        <v>6044433.05</v>
      </c>
      <c r="H17" s="332">
        <f>'VLR 2012 a 2018 ATUALIZ média'!H49</f>
        <v>6551000</v>
      </c>
      <c r="I17" s="803">
        <v>6560825.12</v>
      </c>
      <c r="J17" s="332">
        <f>'VLR 2012 a 2018 ATUALIZ média'!O49</f>
        <v>6813989.050304875</v>
      </c>
      <c r="K17" s="332">
        <f>'VLR 2012 a 2018 ATUALIZ média'!P49</f>
        <v>6943454.842260667</v>
      </c>
      <c r="L17" s="332">
        <f>'VLR 2012 a 2018 ATUALIZ média'!Q49</f>
        <v>7110097.758474923</v>
      </c>
      <c r="M17" s="204"/>
      <c r="N17" s="204"/>
      <c r="O17" s="204"/>
    </row>
    <row r="18" spans="1:15" s="67" customFormat="1" ht="18" customHeight="1">
      <c r="A18" s="481"/>
      <c r="B18" s="206" t="s">
        <v>479</v>
      </c>
      <c r="C18" s="328" t="s">
        <v>598</v>
      </c>
      <c r="D18" s="328" t="s">
        <v>70</v>
      </c>
      <c r="E18" s="332">
        <f>'VLR 2012 a 2018 ATUALIZ média'!E60</f>
        <v>2265850.94</v>
      </c>
      <c r="F18" s="332">
        <f>'VLR 2012 a 2018 ATUALIZ média'!F60</f>
        <v>2466359.75</v>
      </c>
      <c r="G18" s="332">
        <f>'VLR 2012 a 2018 ATUALIZ média'!G60</f>
        <v>2683730.78</v>
      </c>
      <c r="H18" s="332">
        <f>'VLR 2012 a 2018 ATUALIZ média'!H60</f>
        <v>3184000</v>
      </c>
      <c r="I18" s="803">
        <v>2957464.77</v>
      </c>
      <c r="J18" s="332">
        <f>'VLR 2012 a 2018 ATUALIZ média'!O60</f>
        <v>3659029.2963654287</v>
      </c>
      <c r="K18" s="332">
        <f>'VLR 2012 a 2018 ATUALIZ média'!P60</f>
        <v>3728550.8529963717</v>
      </c>
      <c r="L18" s="332">
        <f>'VLR 2012 a 2018 ATUALIZ média'!Q60</f>
        <v>3799393.3192033027</v>
      </c>
      <c r="M18" s="204"/>
      <c r="N18" s="204"/>
      <c r="O18" s="204"/>
    </row>
    <row r="19" spans="1:15" s="67" customFormat="1" ht="18" customHeight="1">
      <c r="A19" s="481"/>
      <c r="B19" s="206" t="s">
        <v>480</v>
      </c>
      <c r="C19" s="328" t="s">
        <v>599</v>
      </c>
      <c r="D19" s="328" t="s">
        <v>71</v>
      </c>
      <c r="E19" s="332">
        <f>'VLR 2012 a 2018 ATUALIZ média'!E61</f>
        <v>181396.16</v>
      </c>
      <c r="F19" s="332">
        <f>'VLR 2012 a 2018 ATUALIZ média'!F61</f>
        <v>182981.35</v>
      </c>
      <c r="G19" s="332">
        <f>'VLR 2012 a 2018 ATUALIZ média'!G61</f>
        <v>213880.99</v>
      </c>
      <c r="H19" s="332">
        <f>'VLR 2012 a 2018 ATUALIZ média'!H61</f>
        <v>210000</v>
      </c>
      <c r="I19" s="803">
        <v>227903.84</v>
      </c>
      <c r="J19" s="332">
        <f>'VLR 2012 a 2018 ATUALIZ média'!O61</f>
        <v>233089.53578156795</v>
      </c>
      <c r="K19" s="332">
        <f>'VLR 2012 a 2018 ATUALIZ média'!P61</f>
        <v>237518.23696141774</v>
      </c>
      <c r="L19" s="332">
        <f>'VLR 2012 a 2018 ATUALIZ média'!Q61</f>
        <v>243218.67464849178</v>
      </c>
      <c r="M19" s="204"/>
      <c r="N19" s="204"/>
      <c r="O19" s="204"/>
    </row>
    <row r="20" spans="1:15" s="67" customFormat="1" ht="18" customHeight="1">
      <c r="A20" s="481"/>
      <c r="B20" s="210" t="s">
        <v>179</v>
      </c>
      <c r="C20" s="328" t="s">
        <v>600</v>
      </c>
      <c r="D20" s="328" t="s">
        <v>72</v>
      </c>
      <c r="E20" s="332">
        <f>'VLR 2012 a 2018 ATUALIZ média'!E71</f>
        <v>461606.28</v>
      </c>
      <c r="F20" s="332">
        <f>'VLR 2012 a 2018 ATUALIZ média'!F71</f>
        <v>558540.79</v>
      </c>
      <c r="G20" s="332">
        <f>'VLR 2012 a 2018 ATUALIZ média'!G71</f>
        <v>794732.63</v>
      </c>
      <c r="H20" s="332">
        <f>'VLR 2012 a 2018 ATUALIZ média'!H71</f>
        <v>757000</v>
      </c>
      <c r="I20" s="803">
        <v>820593.96</v>
      </c>
      <c r="J20" s="332">
        <f>'VLR 2012 a 2018 ATUALIZ média'!O71</f>
        <v>756000</v>
      </c>
      <c r="K20" s="332">
        <f>'VLR 2012 a 2018 ATUALIZ média'!P71</f>
        <v>770364</v>
      </c>
      <c r="L20" s="332">
        <f>'VLR 2012 a 2018 ATUALIZ média'!Q71</f>
        <v>788852.736</v>
      </c>
      <c r="M20" s="204"/>
      <c r="N20" s="204"/>
      <c r="O20" s="204"/>
    </row>
    <row r="21" spans="1:15" s="67" customFormat="1" ht="19.5" customHeight="1">
      <c r="A21" s="481"/>
      <c r="B21" s="334" t="s">
        <v>481</v>
      </c>
      <c r="C21" s="335" t="s">
        <v>601</v>
      </c>
      <c r="D21" s="333" t="s">
        <v>80</v>
      </c>
      <c r="E21" s="208">
        <f>E16-SUM(E17:E20)</f>
        <v>790084.9099999992</v>
      </c>
      <c r="F21" s="208">
        <f aca="true" t="shared" si="2" ref="F21:L21">F16-SUM(F17:F20)</f>
        <v>915481.4900000002</v>
      </c>
      <c r="G21" s="208">
        <f>G16-SUM(G17:G20)</f>
        <v>1122158.8699999973</v>
      </c>
      <c r="H21" s="208">
        <f>H16-SUM(H17:H20)</f>
        <v>847064</v>
      </c>
      <c r="I21" s="208">
        <f>I16-SUM(I17:I20)</f>
        <v>710779.6099999994</v>
      </c>
      <c r="J21" s="208">
        <f t="shared" si="2"/>
        <v>1155888.164905239</v>
      </c>
      <c r="K21" s="208">
        <f t="shared" si="2"/>
        <v>1177850.0400384385</v>
      </c>
      <c r="L21" s="208">
        <f t="shared" si="2"/>
        <v>1206118.440999359</v>
      </c>
      <c r="M21" s="204"/>
      <c r="N21" s="204"/>
      <c r="O21" s="204"/>
    </row>
    <row r="22" spans="1:15" s="67" customFormat="1" ht="18" customHeight="1">
      <c r="A22" s="481"/>
      <c r="B22" s="339" t="s">
        <v>482</v>
      </c>
      <c r="C22" s="331" t="s">
        <v>602</v>
      </c>
      <c r="D22" s="340" t="s">
        <v>81</v>
      </c>
      <c r="E22" s="222">
        <f>'VLR 2012 a 2018 ATUALIZ média'!E23+'VLR 2012 a 2018 ATUALIZ média'!E28+'VLR 2012 a 2018 ATUALIZ média'!E43+'VLR 2012 a 2018 ATUALIZ média'!E80</f>
        <v>292018.69999999995</v>
      </c>
      <c r="F22" s="222">
        <f>'VLR 2012 a 2018 ATUALIZ média'!F23+'VLR 2012 a 2018 ATUALIZ média'!F28+'VLR 2012 a 2018 ATUALIZ média'!F43+'VLR 2012 a 2018 ATUALIZ média'!F80</f>
        <v>216110.22</v>
      </c>
      <c r="G22" s="222">
        <f>'VLR 2012 a 2018 ATUALIZ média'!G23+'VLR 2012 a 2018 ATUALIZ média'!G28+'VLR 2012 a 2018 ATUALIZ média'!G43+'VLR 2012 a 2018 ATUALIZ média'!G80</f>
        <v>331344.79</v>
      </c>
      <c r="H22" s="222">
        <f>'VLR 2012 a 2018 ATUALIZ média'!H23+'VLR 2012 a 2018 ATUALIZ média'!H28+'VLR 2012 a 2018 ATUALIZ média'!H43+'VLR 2012 a 2018 ATUALIZ média'!H80</f>
        <v>193236</v>
      </c>
      <c r="I22" s="802">
        <v>211547.51</v>
      </c>
      <c r="J22" s="222">
        <f>'VLR 2012 a 2018 ATUALIZ média'!O23+'VLR 2012 a 2018 ATUALIZ média'!O28+'VLR 2012 a 2018 ATUALIZ média'!O43+'VLR 2012 a 2018 ATUALIZ média'!O80</f>
        <v>338589.1688905116</v>
      </c>
      <c r="K22" s="222">
        <f>'VLR 2012 a 2018 ATUALIZ média'!P23+'VLR 2012 a 2018 ATUALIZ média'!P28+'VLR 2012 a 2018 ATUALIZ média'!P43+'VLR 2012 a 2018 ATUALIZ média'!P80</f>
        <v>345022.3630994313</v>
      </c>
      <c r="L22" s="222">
        <f>'VLR 2012 a 2018 ATUALIZ média'!Q23+'VLR 2012 a 2018 ATUALIZ média'!Q28+'VLR 2012 a 2018 ATUALIZ média'!Q43+'VLR 2012 a 2018 ATUALIZ média'!Q80</f>
        <v>353302.8998138177</v>
      </c>
      <c r="M22" s="204"/>
      <c r="N22" s="204"/>
      <c r="O22" s="204"/>
    </row>
    <row r="23" spans="1:15" s="67" customFormat="1" ht="18" customHeight="1">
      <c r="A23" s="481"/>
      <c r="B23" s="338" t="s">
        <v>483</v>
      </c>
      <c r="C23" s="335" t="s">
        <v>603</v>
      </c>
      <c r="D23" s="335" t="s">
        <v>82</v>
      </c>
      <c r="E23" s="208">
        <f aca="true" t="shared" si="3" ref="E23:L23">SUM(E24:E30)</f>
        <v>1602718.5</v>
      </c>
      <c r="F23" s="209">
        <f t="shared" si="3"/>
        <v>1795359.0799999998</v>
      </c>
      <c r="G23" s="209">
        <f t="shared" si="3"/>
        <v>2001092.9700000002</v>
      </c>
      <c r="H23" s="209">
        <f>SUM(H24:H30)</f>
        <v>2194300</v>
      </c>
      <c r="I23" s="209">
        <f>SUM(I24:I30)</f>
        <v>2081584.14</v>
      </c>
      <c r="J23" s="209">
        <f t="shared" si="3"/>
        <v>2219691.9348287517</v>
      </c>
      <c r="K23" s="209">
        <f t="shared" si="3"/>
        <v>2261110.8523540976</v>
      </c>
      <c r="L23" s="209">
        <f t="shared" si="3"/>
        <v>2314190.9637658517</v>
      </c>
      <c r="M23" s="204"/>
      <c r="N23" s="204"/>
      <c r="O23" s="204"/>
    </row>
    <row r="24" spans="1:15" s="124" customFormat="1" ht="18" customHeight="1">
      <c r="A24" s="217"/>
      <c r="B24" s="211" t="s">
        <v>532</v>
      </c>
      <c r="C24" s="328" t="s">
        <v>604</v>
      </c>
      <c r="D24" s="328" t="s">
        <v>336</v>
      </c>
      <c r="E24" s="212">
        <f>'VLR 2012 a 2018 ATUALIZ média'!E17</f>
        <v>54531.07</v>
      </c>
      <c r="F24" s="212">
        <f>'VLR 2012 a 2018 ATUALIZ média'!F17</f>
        <v>108884.61</v>
      </c>
      <c r="G24" s="212">
        <f>'VLR 2012 a 2018 ATUALIZ média'!G17</f>
        <v>120564.08</v>
      </c>
      <c r="H24" s="212">
        <f>'VLR 2012 a 2018 ATUALIZ média'!H17</f>
        <v>130000</v>
      </c>
      <c r="I24" s="803">
        <v>125287.47</v>
      </c>
      <c r="J24" s="212">
        <f>'VLR 2012 a 2018 ATUALIZ média'!O17</f>
        <v>113303.72387045954</v>
      </c>
      <c r="K24" s="212">
        <f>'VLR 2012 a 2018 ATUALIZ média'!P17</f>
        <v>115456.49462399827</v>
      </c>
      <c r="L24" s="212">
        <f>'VLR 2012 a 2018 ATUALIZ média'!Q17</f>
        <v>118227.45049497423</v>
      </c>
      <c r="M24" s="213"/>
      <c r="N24" s="213"/>
      <c r="O24" s="213"/>
    </row>
    <row r="25" spans="1:15" s="124" customFormat="1" ht="18" customHeight="1">
      <c r="A25" s="217"/>
      <c r="B25" s="211" t="s">
        <v>554</v>
      </c>
      <c r="C25" s="328" t="s">
        <v>605</v>
      </c>
      <c r="D25" s="328" t="s">
        <v>83</v>
      </c>
      <c r="E25" s="212">
        <v>61.9</v>
      </c>
      <c r="F25" s="212">
        <f>'VLR 2012 a 2018 ATUALIZ média'!F91</f>
        <v>0</v>
      </c>
      <c r="G25" s="212">
        <f>'VLR 2012 a 2018 ATUALIZ média'!G91</f>
        <v>0</v>
      </c>
      <c r="H25" s="212">
        <f>'VLR 2012 a 2018 ATUALIZ média'!H91</f>
        <v>0</v>
      </c>
      <c r="I25" s="803">
        <v>0</v>
      </c>
      <c r="J25" s="212">
        <f>'VLR 2012 a 2018 ATUALIZ média'!O91</f>
        <v>0</v>
      </c>
      <c r="K25" s="212">
        <f>'VLR 2012 a 2018 ATUALIZ média'!P91</f>
        <v>0</v>
      </c>
      <c r="L25" s="212">
        <f>'VLR 2012 a 2018 ATUALIZ média'!Q91</f>
        <v>0</v>
      </c>
      <c r="M25" s="213"/>
      <c r="N25" s="213"/>
      <c r="O25" s="213"/>
    </row>
    <row r="26" spans="1:15" s="124" customFormat="1" ht="18" customHeight="1">
      <c r="A26" s="217"/>
      <c r="B26" s="211" t="s">
        <v>27</v>
      </c>
      <c r="C26" s="328" t="s">
        <v>606</v>
      </c>
      <c r="D26" s="328" t="s">
        <v>84</v>
      </c>
      <c r="E26" s="212">
        <f>'VLR 2012 a 2018 ATUALIZ média'!E95</f>
        <v>0</v>
      </c>
      <c r="F26" s="212">
        <f>'VLR 2012 a 2018 ATUALIZ média'!F95</f>
        <v>10542.28</v>
      </c>
      <c r="G26" s="212">
        <f>'VLR 2012 a 2018 ATUALIZ média'!G95</f>
        <v>39037.04</v>
      </c>
      <c r="H26" s="212">
        <f>'VLR 2012 a 2018 ATUALIZ média'!H95</f>
        <v>30000</v>
      </c>
      <c r="I26" s="803">
        <v>0</v>
      </c>
      <c r="J26" s="212">
        <f>'VLR 2012 a 2018 ATUALIZ média'!O95</f>
        <v>41957.1798</v>
      </c>
      <c r="K26" s="212">
        <f>'VLR 2012 a 2018 ATUALIZ média'!P95</f>
        <v>42376.751597999995</v>
      </c>
      <c r="L26" s="212">
        <f>'VLR 2012 a 2018 ATUALIZ média'!Q95</f>
        <v>42800.51911397999</v>
      </c>
      <c r="M26" s="213"/>
      <c r="N26" s="213"/>
      <c r="O26" s="213"/>
    </row>
    <row r="27" spans="1:15" s="67" customFormat="1" ht="18" customHeight="1">
      <c r="A27" s="481"/>
      <c r="B27" s="214" t="s">
        <v>202</v>
      </c>
      <c r="C27" s="328" t="s">
        <v>607</v>
      </c>
      <c r="D27" s="328" t="s">
        <v>85</v>
      </c>
      <c r="E27" s="207">
        <f>'VLR 2012 a 2018 ATUALIZ média'!E24</f>
        <v>0</v>
      </c>
      <c r="F27" s="207">
        <f>'VLR 2012 a 2018 ATUALIZ média'!F24</f>
        <v>0</v>
      </c>
      <c r="G27" s="207">
        <f>'VLR 2012 a 2018 ATUALIZ média'!G24</f>
        <v>0</v>
      </c>
      <c r="H27" s="207">
        <f>'VLR 2012 a 2018 ATUALIZ média'!H24</f>
        <v>0</v>
      </c>
      <c r="I27" s="803">
        <v>0</v>
      </c>
      <c r="J27" s="207">
        <f>'VLR 2012 a 2018 ATUALIZ média'!O24</f>
        <v>0</v>
      </c>
      <c r="K27" s="207">
        <f>'VLR 2012 a 2018 ATUALIZ média'!P24</f>
        <v>0</v>
      </c>
      <c r="L27" s="207">
        <f>'VLR 2012 a 2018 ATUALIZ média'!Q24</f>
        <v>0</v>
      </c>
      <c r="M27" s="204"/>
      <c r="N27" s="204"/>
      <c r="O27" s="204"/>
    </row>
    <row r="28" spans="1:15" s="67" customFormat="1" ht="18" customHeight="1">
      <c r="A28" s="481"/>
      <c r="B28" s="215" t="s">
        <v>484</v>
      </c>
      <c r="C28" s="328" t="s">
        <v>608</v>
      </c>
      <c r="D28" s="328" t="s">
        <v>85</v>
      </c>
      <c r="E28" s="207">
        <f>'VLR 2012 a 2018 ATUALIZ média'!E25</f>
        <v>0</v>
      </c>
      <c r="F28" s="207">
        <f>'VLR 2012 a 2018 ATUALIZ média'!F25</f>
        <v>0</v>
      </c>
      <c r="G28" s="207">
        <f>'VLR 2012 a 2018 ATUALIZ média'!G25</f>
        <v>0</v>
      </c>
      <c r="H28" s="207">
        <f>'VLR 2012 a 2018 ATUALIZ média'!H25</f>
        <v>0</v>
      </c>
      <c r="I28" s="803">
        <v>0</v>
      </c>
      <c r="J28" s="207">
        <f>'VLR 2012 a 2018 ATUALIZ média'!O25</f>
        <v>0</v>
      </c>
      <c r="K28" s="207">
        <f>'VLR 2012 a 2018 ATUALIZ média'!P25</f>
        <v>0</v>
      </c>
      <c r="L28" s="207">
        <f>'VLR 2012 a 2018 ATUALIZ média'!Q25</f>
        <v>0</v>
      </c>
      <c r="M28" s="204"/>
      <c r="N28" s="204"/>
      <c r="O28" s="204"/>
    </row>
    <row r="29" spans="1:15" s="67" customFormat="1" ht="18" customHeight="1">
      <c r="A29" s="481"/>
      <c r="B29" s="215" t="s">
        <v>531</v>
      </c>
      <c r="C29" s="328" t="s">
        <v>609</v>
      </c>
      <c r="D29" s="328" t="s">
        <v>85</v>
      </c>
      <c r="E29" s="207">
        <v>0</v>
      </c>
      <c r="F29" s="207">
        <v>0</v>
      </c>
      <c r="G29" s="207">
        <v>0</v>
      </c>
      <c r="H29" s="207">
        <v>0</v>
      </c>
      <c r="I29" s="803">
        <v>0</v>
      </c>
      <c r="J29" s="207">
        <v>0</v>
      </c>
      <c r="K29" s="207">
        <v>0</v>
      </c>
      <c r="L29" s="207">
        <v>0</v>
      </c>
      <c r="M29" s="204"/>
      <c r="N29" s="204"/>
      <c r="O29" s="204"/>
    </row>
    <row r="30" spans="2:15" s="217" customFormat="1" ht="18" customHeight="1">
      <c r="B30" s="216" t="s">
        <v>533</v>
      </c>
      <c r="C30" s="328" t="s">
        <v>610</v>
      </c>
      <c r="D30" s="328" t="s">
        <v>86</v>
      </c>
      <c r="E30" s="212">
        <f>'VLR 2012 a 2018 ATUALIZ média'!E93</f>
        <v>1548125.53</v>
      </c>
      <c r="F30" s="212">
        <f>'VLR 2012 a 2018 ATUALIZ média'!F93</f>
        <v>1675932.19</v>
      </c>
      <c r="G30" s="212">
        <f>'VLR 2012 a 2018 ATUALIZ média'!G93</f>
        <v>1841491.85</v>
      </c>
      <c r="H30" s="212">
        <f>'VLR 2012 a 2018 ATUALIZ média'!H93</f>
        <v>2034300</v>
      </c>
      <c r="I30" s="803">
        <v>1956296.67</v>
      </c>
      <c r="J30" s="212">
        <f>'VLR 2012 a 2018 ATUALIZ média'!O93</f>
        <v>2064431.031158292</v>
      </c>
      <c r="K30" s="212">
        <f>'VLR 2012 a 2018 ATUALIZ média'!P93</f>
        <v>2103277.6061320994</v>
      </c>
      <c r="L30" s="212">
        <f>'VLR 2012 a 2018 ATUALIZ média'!Q93</f>
        <v>2153162.9941568975</v>
      </c>
      <c r="M30" s="213"/>
      <c r="N30" s="213"/>
      <c r="O30" s="213"/>
    </row>
    <row r="31" spans="1:15" s="66" customFormat="1" ht="23.25" customHeight="1">
      <c r="A31" s="483"/>
      <c r="B31" s="336" t="s">
        <v>407</v>
      </c>
      <c r="C31" s="337" t="s">
        <v>611</v>
      </c>
      <c r="D31" s="337" t="s">
        <v>87</v>
      </c>
      <c r="E31" s="221">
        <f aca="true" t="shared" si="4" ref="E31:L31">E20-E30</f>
        <v>-1086519.25</v>
      </c>
      <c r="F31" s="221">
        <f>F20-F30</f>
        <v>-1117391.4</v>
      </c>
      <c r="G31" s="221">
        <f t="shared" si="4"/>
        <v>-1046759.2200000001</v>
      </c>
      <c r="H31" s="221">
        <f>H20-H30</f>
        <v>-1277300</v>
      </c>
      <c r="I31" s="807">
        <v>-1091479.32</v>
      </c>
      <c r="J31" s="221">
        <f t="shared" si="4"/>
        <v>-1308431.031158292</v>
      </c>
      <c r="K31" s="221">
        <f t="shared" si="4"/>
        <v>-1332913.6061320994</v>
      </c>
      <c r="L31" s="221">
        <f t="shared" si="4"/>
        <v>-1364310.2581568975</v>
      </c>
      <c r="M31" s="218"/>
      <c r="N31" s="218"/>
      <c r="O31" s="218"/>
    </row>
    <row r="32" spans="1:15" s="67" customFormat="1" ht="20.25" customHeight="1">
      <c r="A32" s="481"/>
      <c r="B32" s="205" t="s">
        <v>406</v>
      </c>
      <c r="C32" s="328" t="s">
        <v>612</v>
      </c>
      <c r="D32" s="328" t="s">
        <v>88</v>
      </c>
      <c r="E32" s="222">
        <f aca="true" t="shared" si="5" ref="E32:L32">E10-E23-E31</f>
        <v>9275813.729999999</v>
      </c>
      <c r="F32" s="222">
        <f t="shared" si="5"/>
        <v>9747387.15</v>
      </c>
      <c r="G32" s="222">
        <f t="shared" si="5"/>
        <v>10788776.689999998</v>
      </c>
      <c r="H32" s="222">
        <f>H10-H23-H31</f>
        <v>11291300</v>
      </c>
      <c r="I32" s="222">
        <f>I10-I23-I31</f>
        <v>11344494.58</v>
      </c>
      <c r="J32" s="222">
        <f t="shared" si="5"/>
        <v>12743078.009773554</v>
      </c>
      <c r="K32" s="222">
        <f t="shared" si="5"/>
        <v>12983993.665659849</v>
      </c>
      <c r="L32" s="222">
        <f t="shared" si="5"/>
        <v>13275076.985606978</v>
      </c>
      <c r="M32" s="204"/>
      <c r="N32" s="204"/>
      <c r="O32" s="204"/>
    </row>
    <row r="33" spans="2:12" ht="12.75" customHeight="1">
      <c r="B33" s="341" t="s">
        <v>90</v>
      </c>
      <c r="C33" s="342"/>
      <c r="D33" s="342"/>
      <c r="E33" s="343"/>
      <c r="F33" s="344"/>
      <c r="G33" s="344"/>
      <c r="H33" s="344"/>
      <c r="I33" s="344"/>
      <c r="J33" s="344"/>
      <c r="K33" s="344"/>
      <c r="L33" s="345"/>
    </row>
    <row r="34" spans="1:15" s="220" customFormat="1" ht="15.75" customHeight="1">
      <c r="A34" s="480"/>
      <c r="B34" s="1016" t="s">
        <v>1049</v>
      </c>
      <c r="C34" s="1017"/>
      <c r="D34" s="1017"/>
      <c r="E34" s="1017"/>
      <c r="F34" s="1017"/>
      <c r="G34" s="1017"/>
      <c r="H34" s="1017"/>
      <c r="I34" s="1017"/>
      <c r="J34" s="1017"/>
      <c r="K34" s="1017"/>
      <c r="L34" s="1018"/>
      <c r="M34" s="219"/>
      <c r="N34" s="219"/>
      <c r="O34" s="219"/>
    </row>
    <row r="35" spans="3:15" s="56" customFormat="1" ht="24" customHeight="1">
      <c r="C35" s="395"/>
      <c r="D35" s="395"/>
      <c r="I35" s="804"/>
      <c r="M35" s="123"/>
      <c r="N35" s="123"/>
      <c r="O35" s="123"/>
    </row>
    <row r="36" ht="12.75" customHeight="1">
      <c r="I36" s="805"/>
    </row>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spans="8:9" ht="12.75" customHeight="1">
      <c r="H72" s="56"/>
      <c r="I72" s="56"/>
    </row>
    <row r="73" ht="12.75" customHeight="1"/>
    <row r="74" ht="12.75" customHeight="1"/>
    <row r="75" ht="12.75" customHeight="1"/>
    <row r="76" ht="12.75" customHeight="1"/>
    <row r="77" ht="12.75" customHeight="1"/>
    <row r="78" ht="12.75" customHeight="1"/>
    <row r="79" ht="12.75" customHeight="1"/>
    <row r="80" ht="12.75" customHeight="1"/>
    <row r="81" ht="12.75" customHeight="1"/>
    <row r="82" spans="3:15" s="56" customFormat="1" ht="24.75" customHeight="1">
      <c r="C82" s="395"/>
      <c r="D82" s="395"/>
      <c r="M82" s="123"/>
      <c r="N82" s="123"/>
      <c r="O82" s="123"/>
    </row>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sheetData>
  <sheetProtection selectLockedCells="1" selectUnlockedCells="1"/>
  <mergeCells count="8">
    <mergeCell ref="B2:L2"/>
    <mergeCell ref="B3:L3"/>
    <mergeCell ref="B6:E6"/>
    <mergeCell ref="C1:K1"/>
    <mergeCell ref="B34:L34"/>
    <mergeCell ref="B4:L4"/>
    <mergeCell ref="B5:L5"/>
    <mergeCell ref="B7:L7"/>
  </mergeCells>
  <printOptions horizontalCentered="1"/>
  <pageMargins left="0.1968503937007874" right="0.1968503937007874" top="0.1968503937007874" bottom="0.1968503937007874" header="0.31496062992125984" footer="0.31496062992125984"/>
  <pageSetup fitToHeight="1" fitToWidth="1" horizontalDpi="600" verticalDpi="600" orientation="landscape" paperSize="9" scale="82" r:id="rId3"/>
  <legacyDrawing r:id="rId2"/>
</worksheet>
</file>

<file path=xl/worksheets/sheet6.xml><?xml version="1.0" encoding="utf-8"?>
<worksheet xmlns="http://schemas.openxmlformats.org/spreadsheetml/2006/main" xmlns:r="http://schemas.openxmlformats.org/officeDocument/2006/relationships">
  <dimension ref="A1:P48"/>
  <sheetViews>
    <sheetView zoomScalePageLayoutView="0" workbookViewId="0" topLeftCell="A1">
      <selection activeCell="I24" sqref="I24"/>
    </sheetView>
  </sheetViews>
  <sheetFormatPr defaultColWidth="9.140625" defaultRowHeight="12.75"/>
  <cols>
    <col min="1" max="1" width="1.57421875" style="109" customWidth="1"/>
    <col min="2" max="2" width="27.7109375" style="0" customWidth="1"/>
    <col min="3" max="3" width="13.28125" style="139" customWidth="1"/>
    <col min="4" max="4" width="12.28125" style="257" customWidth="1"/>
    <col min="5" max="6" width="12.57421875" style="257" customWidth="1"/>
    <col min="7" max="7" width="12.8515625" style="257" customWidth="1"/>
    <col min="8" max="8" width="12.7109375" style="257" customWidth="1"/>
    <col min="9" max="9" width="14.00390625" style="257" customWidth="1"/>
    <col min="10" max="10" width="13.140625" style="257" customWidth="1"/>
    <col min="11" max="11" width="12.8515625" style="257" customWidth="1"/>
    <col min="12" max="12" width="3.7109375" style="200" customWidth="1"/>
    <col min="13" max="16" width="9.140625" style="160" customWidth="1"/>
  </cols>
  <sheetData>
    <row r="1" spans="1:16" s="351" customFormat="1" ht="15.75" customHeight="1">
      <c r="A1" s="437"/>
      <c r="B1" s="348" t="s">
        <v>573</v>
      </c>
      <c r="C1" s="1034" t="s">
        <v>210</v>
      </c>
      <c r="D1" s="938"/>
      <c r="E1" s="938"/>
      <c r="F1" s="938"/>
      <c r="G1" s="938"/>
      <c r="H1" s="938"/>
      <c r="I1" s="938"/>
      <c r="J1" s="938"/>
      <c r="K1" s="352" t="s">
        <v>349</v>
      </c>
      <c r="L1" s="404"/>
      <c r="M1" s="350"/>
      <c r="N1" s="350"/>
      <c r="O1" s="350"/>
      <c r="P1" s="350"/>
    </row>
    <row r="2" spans="1:16" s="351" customFormat="1" ht="13.5" customHeight="1">
      <c r="A2" s="437"/>
      <c r="B2" s="1044" t="s">
        <v>414</v>
      </c>
      <c r="C2" s="1045"/>
      <c r="D2" s="1045"/>
      <c r="E2" s="1045"/>
      <c r="F2" s="1045"/>
      <c r="G2" s="1045"/>
      <c r="H2" s="1045"/>
      <c r="I2" s="1045"/>
      <c r="J2" s="1045"/>
      <c r="K2" s="1046"/>
      <c r="L2" s="404"/>
      <c r="M2" s="350"/>
      <c r="N2" s="350"/>
      <c r="O2" s="350"/>
      <c r="P2" s="350"/>
    </row>
    <row r="3" spans="1:16" s="351" customFormat="1" ht="12.75" customHeight="1">
      <c r="A3" s="437"/>
      <c r="B3" s="1047" t="s">
        <v>292</v>
      </c>
      <c r="C3" s="1048"/>
      <c r="D3" s="1048"/>
      <c r="E3" s="1048"/>
      <c r="F3" s="1048"/>
      <c r="G3" s="1048"/>
      <c r="H3" s="1048"/>
      <c r="I3" s="1048"/>
      <c r="J3" s="1048"/>
      <c r="K3" s="1049"/>
      <c r="L3" s="404"/>
      <c r="M3" s="350"/>
      <c r="N3" s="350"/>
      <c r="O3" s="350"/>
      <c r="P3" s="350"/>
    </row>
    <row r="4" spans="1:16" s="351" customFormat="1" ht="12" customHeight="1">
      <c r="A4" s="437"/>
      <c r="B4" s="1038" t="s">
        <v>266</v>
      </c>
      <c r="C4" s="1039"/>
      <c r="D4" s="1039"/>
      <c r="E4" s="1039"/>
      <c r="F4" s="1039"/>
      <c r="G4" s="1039"/>
      <c r="H4" s="1039"/>
      <c r="I4" s="1039"/>
      <c r="J4" s="1039"/>
      <c r="K4" s="1040"/>
      <c r="L4" s="404"/>
      <c r="M4" s="350"/>
      <c r="N4" s="350"/>
      <c r="O4" s="350"/>
      <c r="P4" s="350"/>
    </row>
    <row r="5" spans="1:16" s="351" customFormat="1" ht="13.5" customHeight="1">
      <c r="A5" s="437"/>
      <c r="B5" s="1041" t="s">
        <v>1081</v>
      </c>
      <c r="C5" s="1042"/>
      <c r="D5" s="1042"/>
      <c r="E5" s="1042"/>
      <c r="F5" s="1042"/>
      <c r="G5" s="1042"/>
      <c r="H5" s="1042"/>
      <c r="I5" s="1042"/>
      <c r="J5" s="1042"/>
      <c r="K5" s="1043"/>
      <c r="L5" s="404"/>
      <c r="M5" s="350"/>
      <c r="N5" s="350"/>
      <c r="O5" s="350"/>
      <c r="P5" s="350"/>
    </row>
    <row r="6" spans="1:16" s="351" customFormat="1" ht="11.25" customHeight="1">
      <c r="A6" s="437"/>
      <c r="B6" s="1035" t="s">
        <v>350</v>
      </c>
      <c r="C6" s="1036"/>
      <c r="D6" s="1036"/>
      <c r="E6" s="1036"/>
      <c r="F6" s="1036"/>
      <c r="G6" s="1036"/>
      <c r="H6" s="1036"/>
      <c r="I6" s="1036"/>
      <c r="J6" s="1036"/>
      <c r="K6" s="1037"/>
      <c r="L6" s="404"/>
      <c r="M6" s="350"/>
      <c r="N6" s="350"/>
      <c r="O6" s="350"/>
      <c r="P6" s="350"/>
    </row>
    <row r="7" spans="2:16" ht="11.25" customHeight="1">
      <c r="B7" s="1066" t="str">
        <f>'TAB. P - PARÂMETROS'!B8</f>
        <v>ANEXO do Projeto de Lei n°. 051/2015 </v>
      </c>
      <c r="C7" s="1066"/>
      <c r="D7" s="1066"/>
      <c r="E7" s="346"/>
      <c r="F7" s="346"/>
      <c r="G7" s="1067"/>
      <c r="H7" s="1067"/>
      <c r="I7" s="1067"/>
      <c r="J7" s="1067"/>
      <c r="K7" s="347"/>
      <c r="L7" s="405"/>
      <c r="M7" s="286"/>
      <c r="N7" s="286"/>
      <c r="O7" s="286"/>
      <c r="P7" s="286"/>
    </row>
    <row r="8" spans="2:11" ht="12.75" customHeight="1">
      <c r="B8" s="1059" t="s">
        <v>570</v>
      </c>
      <c r="C8" s="1056" t="s">
        <v>627</v>
      </c>
      <c r="D8" s="1051" t="s">
        <v>469</v>
      </c>
      <c r="E8" s="1051"/>
      <c r="F8" s="1052"/>
      <c r="G8" s="1051" t="s">
        <v>411</v>
      </c>
      <c r="H8" s="1051"/>
      <c r="I8" s="1051"/>
      <c r="J8" s="1051"/>
      <c r="K8" s="1051"/>
    </row>
    <row r="9" spans="2:11" ht="9.75" customHeight="1">
      <c r="B9" s="1060"/>
      <c r="C9" s="1057"/>
      <c r="D9" s="259" t="s">
        <v>539</v>
      </c>
      <c r="E9" s="259" t="s">
        <v>162</v>
      </c>
      <c r="F9" s="270" t="s">
        <v>163</v>
      </c>
      <c r="G9" s="259" t="s">
        <v>164</v>
      </c>
      <c r="H9" s="259" t="s">
        <v>168</v>
      </c>
      <c r="I9" s="259" t="s">
        <v>165</v>
      </c>
      <c r="J9" s="259" t="s">
        <v>166</v>
      </c>
      <c r="K9" s="259" t="s">
        <v>167</v>
      </c>
    </row>
    <row r="10" spans="2:11" ht="16.5" customHeight="1">
      <c r="B10" s="1061"/>
      <c r="C10" s="1058"/>
      <c r="D10" s="260">
        <v>2012</v>
      </c>
      <c r="E10" s="287">
        <v>2013</v>
      </c>
      <c r="F10" s="287">
        <v>2014</v>
      </c>
      <c r="G10" s="260" t="s">
        <v>1087</v>
      </c>
      <c r="H10" s="798" t="s">
        <v>1105</v>
      </c>
      <c r="I10" s="260">
        <v>2016</v>
      </c>
      <c r="J10" s="260">
        <v>2017</v>
      </c>
      <c r="K10" s="260">
        <v>2018</v>
      </c>
    </row>
    <row r="11" spans="2:11" ht="16.5">
      <c r="B11" s="271" t="s">
        <v>619</v>
      </c>
      <c r="C11" s="258" t="s">
        <v>273</v>
      </c>
      <c r="D11" s="261">
        <f aca="true" t="shared" si="0" ref="D11:K11">SUM(D24+D37)</f>
        <v>2700718.21</v>
      </c>
      <c r="E11" s="261">
        <f t="shared" si="0"/>
        <v>3635223.74</v>
      </c>
      <c r="F11" s="288">
        <f t="shared" si="0"/>
        <v>4207972.52</v>
      </c>
      <c r="G11" s="261">
        <f t="shared" si="0"/>
        <v>5323300</v>
      </c>
      <c r="H11" s="261">
        <f t="shared" si="0"/>
        <v>4277020.04</v>
      </c>
      <c r="I11" s="261">
        <f t="shared" si="0"/>
        <v>5216239.854618598</v>
      </c>
      <c r="J11" s="261">
        <f t="shared" si="0"/>
        <v>5765153.5899654655</v>
      </c>
      <c r="K11" s="261">
        <f t="shared" si="0"/>
        <v>6342771.30397995</v>
      </c>
    </row>
    <row r="12" spans="2:11" ht="10.5" customHeight="1">
      <c r="B12" s="271" t="s">
        <v>620</v>
      </c>
      <c r="C12" s="258" t="s">
        <v>275</v>
      </c>
      <c r="D12" s="261">
        <f aca="true" t="shared" si="1" ref="D12:K14">SUM(D25+D38)</f>
        <v>0</v>
      </c>
      <c r="E12" s="261">
        <f t="shared" si="1"/>
        <v>0</v>
      </c>
      <c r="F12" s="288">
        <f t="shared" si="1"/>
        <v>0</v>
      </c>
      <c r="G12" s="261">
        <f t="shared" si="1"/>
        <v>0</v>
      </c>
      <c r="H12" s="261">
        <f t="shared" si="1"/>
        <v>0</v>
      </c>
      <c r="I12" s="261">
        <f t="shared" si="1"/>
        <v>0</v>
      </c>
      <c r="J12" s="261">
        <f t="shared" si="1"/>
        <v>0</v>
      </c>
      <c r="K12" s="261">
        <f t="shared" si="1"/>
        <v>0</v>
      </c>
    </row>
    <row r="13" spans="2:11" ht="10.5" customHeight="1">
      <c r="B13" s="271" t="s">
        <v>621</v>
      </c>
      <c r="C13" s="258" t="s">
        <v>274</v>
      </c>
      <c r="D13" s="261">
        <f t="shared" si="1"/>
        <v>0</v>
      </c>
      <c r="E13" s="261">
        <f t="shared" si="1"/>
        <v>0</v>
      </c>
      <c r="F13" s="288">
        <f t="shared" si="1"/>
        <v>0</v>
      </c>
      <c r="G13" s="261">
        <f t="shared" si="1"/>
        <v>0</v>
      </c>
      <c r="H13" s="261">
        <f t="shared" si="1"/>
        <v>0</v>
      </c>
      <c r="I13" s="261">
        <f t="shared" si="1"/>
        <v>0</v>
      </c>
      <c r="J13" s="261">
        <f t="shared" si="1"/>
        <v>0</v>
      </c>
      <c r="K13" s="261">
        <f t="shared" si="1"/>
        <v>0</v>
      </c>
    </row>
    <row r="14" spans="2:11" ht="10.5" customHeight="1">
      <c r="B14" s="271" t="s">
        <v>622</v>
      </c>
      <c r="C14" s="258" t="s">
        <v>276</v>
      </c>
      <c r="D14" s="261">
        <f t="shared" si="1"/>
        <v>0</v>
      </c>
      <c r="E14" s="261">
        <f t="shared" si="1"/>
        <v>0</v>
      </c>
      <c r="F14" s="288">
        <f t="shared" si="1"/>
        <v>0</v>
      </c>
      <c r="G14" s="261">
        <f t="shared" si="1"/>
        <v>0</v>
      </c>
      <c r="H14" s="261">
        <f t="shared" si="1"/>
        <v>0</v>
      </c>
      <c r="I14" s="261">
        <f t="shared" si="1"/>
        <v>0</v>
      </c>
      <c r="J14" s="261">
        <f t="shared" si="1"/>
        <v>0</v>
      </c>
      <c r="K14" s="261">
        <f t="shared" si="1"/>
        <v>0</v>
      </c>
    </row>
    <row r="15" spans="2:16" s="109" customFormat="1" ht="2.25" customHeight="1">
      <c r="B15" s="273"/>
      <c r="C15" s="285"/>
      <c r="D15" s="262"/>
      <c r="E15" s="262"/>
      <c r="F15" s="289"/>
      <c r="G15" s="262"/>
      <c r="H15" s="262"/>
      <c r="I15" s="262"/>
      <c r="J15" s="262"/>
      <c r="K15" s="262"/>
      <c r="L15" s="200"/>
      <c r="M15" s="200"/>
      <c r="N15" s="200"/>
      <c r="O15" s="200"/>
      <c r="P15" s="200"/>
    </row>
    <row r="16" spans="2:11" ht="16.5">
      <c r="B16" s="275" t="s">
        <v>624</v>
      </c>
      <c r="C16" s="285" t="s">
        <v>623</v>
      </c>
      <c r="D16" s="263">
        <f>+D11+D12-D13-D14-D15</f>
        <v>2700718.21</v>
      </c>
      <c r="E16" s="263">
        <f aca="true" t="shared" si="2" ref="E16:J16">+E11+E12-E13-E14-E15</f>
        <v>3635223.74</v>
      </c>
      <c r="F16" s="290">
        <f t="shared" si="2"/>
        <v>4207972.52</v>
      </c>
      <c r="G16" s="263">
        <f t="shared" si="2"/>
        <v>5323300</v>
      </c>
      <c r="H16" s="263">
        <f t="shared" si="2"/>
        <v>4277020.04</v>
      </c>
      <c r="I16" s="263">
        <f t="shared" si="2"/>
        <v>5216239.854618598</v>
      </c>
      <c r="J16" s="263">
        <f t="shared" si="2"/>
        <v>5765153.5899654655</v>
      </c>
      <c r="K16" s="263">
        <f>+K11+K12-K13-K14-K15</f>
        <v>6342771.30397995</v>
      </c>
    </row>
    <row r="17" spans="2:11" ht="12.75">
      <c r="B17" s="276" t="s">
        <v>272</v>
      </c>
      <c r="C17" s="285" t="s">
        <v>285</v>
      </c>
      <c r="D17" s="264">
        <f>'II.  R.C.L. REALIZ. E ESTIMADA'!E32</f>
        <v>9275813.729999999</v>
      </c>
      <c r="E17" s="264">
        <f>'II.  R.C.L. REALIZ. E ESTIMADA'!F32</f>
        <v>9747387.15</v>
      </c>
      <c r="F17" s="291">
        <f>'II.  R.C.L. REALIZ. E ESTIMADA'!G32</f>
        <v>10788776.689999998</v>
      </c>
      <c r="G17" s="264">
        <f>'II.  R.C.L. REALIZ. E ESTIMADA'!H32</f>
        <v>11291300</v>
      </c>
      <c r="H17" s="797">
        <v>11344434.58</v>
      </c>
      <c r="I17" s="264">
        <f>'II.  R.C.L. REALIZ. E ESTIMADA'!J32</f>
        <v>12743078.009773554</v>
      </c>
      <c r="J17" s="264">
        <f>'II.  R.C.L. REALIZ. E ESTIMADA'!K32</f>
        <v>12983993.665659849</v>
      </c>
      <c r="K17" s="264">
        <f>'II.  R.C.L. REALIZ. E ESTIMADA'!L32</f>
        <v>13275076.985606978</v>
      </c>
    </row>
    <row r="18" spans="2:11" ht="12.75">
      <c r="B18" s="276" t="s">
        <v>286</v>
      </c>
      <c r="C18" s="285" t="s">
        <v>625</v>
      </c>
      <c r="D18" s="265">
        <f aca="true" t="shared" si="3" ref="D18:K18">IF(D17&lt;&gt;0,D16/D17,0)</f>
        <v>0.2911570120544023</v>
      </c>
      <c r="E18" s="265">
        <f t="shared" si="3"/>
        <v>0.3729434036073965</v>
      </c>
      <c r="F18" s="292">
        <f t="shared" si="3"/>
        <v>0.3900324050548126</v>
      </c>
      <c r="G18" s="265">
        <f t="shared" si="3"/>
        <v>0.471451471486897</v>
      </c>
      <c r="H18" s="265">
        <f t="shared" si="3"/>
        <v>0.3770148269478583</v>
      </c>
      <c r="I18" s="265">
        <f t="shared" si="3"/>
        <v>0.40933908201910874</v>
      </c>
      <c r="J18" s="265">
        <f t="shared" si="3"/>
        <v>0.4440200556484544</v>
      </c>
      <c r="K18" s="265">
        <f t="shared" si="3"/>
        <v>0.4777954441135724</v>
      </c>
    </row>
    <row r="19" spans="2:16" s="109" customFormat="1" ht="2.25" customHeight="1">
      <c r="B19" s="277"/>
      <c r="C19" s="278"/>
      <c r="D19" s="266"/>
      <c r="E19" s="266"/>
      <c r="F19" s="266"/>
      <c r="G19" s="295"/>
      <c r="H19" s="295"/>
      <c r="I19" s="295"/>
      <c r="J19" s="295"/>
      <c r="K19" s="295"/>
      <c r="L19" s="200"/>
      <c r="M19" s="200"/>
      <c r="N19" s="200"/>
      <c r="O19" s="200"/>
      <c r="P19" s="200"/>
    </row>
    <row r="20" spans="2:11" ht="17.25" customHeight="1">
      <c r="B20" s="1068" t="s">
        <v>569</v>
      </c>
      <c r="C20" s="1056" t="s">
        <v>627</v>
      </c>
      <c r="D20" s="1051" t="s">
        <v>469</v>
      </c>
      <c r="E20" s="1051"/>
      <c r="F20" s="1052"/>
      <c r="G20" s="1051" t="s">
        <v>411</v>
      </c>
      <c r="H20" s="1051"/>
      <c r="I20" s="1051"/>
      <c r="J20" s="1051"/>
      <c r="K20" s="1051"/>
    </row>
    <row r="21" spans="2:11" ht="11.25" customHeight="1">
      <c r="B21" s="1069"/>
      <c r="C21" s="1057"/>
      <c r="D21" s="259" t="s">
        <v>539</v>
      </c>
      <c r="E21" s="259" t="s">
        <v>162</v>
      </c>
      <c r="F21" s="270" t="s">
        <v>163</v>
      </c>
      <c r="G21" s="259" t="s">
        <v>164</v>
      </c>
      <c r="H21" s="259" t="s">
        <v>168</v>
      </c>
      <c r="I21" s="259" t="s">
        <v>165</v>
      </c>
      <c r="J21" s="259" t="s">
        <v>166</v>
      </c>
      <c r="K21" s="259" t="s">
        <v>167</v>
      </c>
    </row>
    <row r="22" spans="1:16" s="51" customFormat="1" ht="14.25" customHeight="1">
      <c r="A22" s="61"/>
      <c r="B22" s="1069"/>
      <c r="C22" s="1057"/>
      <c r="D22" s="1053" t="s">
        <v>271</v>
      </c>
      <c r="E22" s="1054"/>
      <c r="F22" s="1054"/>
      <c r="G22" s="1055"/>
      <c r="H22" s="792"/>
      <c r="I22" s="284" t="s">
        <v>1106</v>
      </c>
      <c r="J22" s="284" t="s">
        <v>565</v>
      </c>
      <c r="K22" s="284" t="s">
        <v>566</v>
      </c>
      <c r="L22" s="62"/>
      <c r="M22" s="53"/>
      <c r="N22" s="53"/>
      <c r="O22" s="53"/>
      <c r="P22" s="53"/>
    </row>
    <row r="23" spans="2:11" ht="17.25" customHeight="1">
      <c r="B23" s="1070"/>
      <c r="C23" s="1058"/>
      <c r="D23" s="260">
        <v>2012</v>
      </c>
      <c r="E23" s="287">
        <v>2013</v>
      </c>
      <c r="F23" s="287">
        <v>2014</v>
      </c>
      <c r="G23" s="260" t="s">
        <v>1087</v>
      </c>
      <c r="H23" s="260" t="s">
        <v>1105</v>
      </c>
      <c r="I23" s="260">
        <v>2016</v>
      </c>
      <c r="J23" s="260">
        <v>2017</v>
      </c>
      <c r="K23" s="260">
        <v>2018</v>
      </c>
    </row>
    <row r="24" spans="2:11" ht="23.25" customHeight="1">
      <c r="B24" s="271" t="s">
        <v>224</v>
      </c>
      <c r="C24" s="500" t="s">
        <v>1132</v>
      </c>
      <c r="D24" s="294">
        <v>2502272.77</v>
      </c>
      <c r="E24" s="294">
        <v>3384145.49</v>
      </c>
      <c r="F24" s="789">
        <v>3929503.25</v>
      </c>
      <c r="G24" s="267">
        <v>5018800</v>
      </c>
      <c r="H24" s="267">
        <v>3988800.9</v>
      </c>
      <c r="I24" s="268">
        <f>H24*(1+'TAB. P - PARÂMETROS'!E$11)*(1+'TAB. P - PARÂMETROS'!E$14)*(1+'TAB. P - PARÂMETROS'!E$18)</f>
        <v>4894714.560422056</v>
      </c>
      <c r="J24" s="268">
        <f>I24*(1+'TAB. P - PARÂMETROS'!F$11)*(1+'TAB. P - PARÂMETROS'!F$14)*(1+'TAB. P - PARÂMETROS'!F$18)</f>
        <v>5409793.645682875</v>
      </c>
      <c r="K24" s="268">
        <f>J24*(1+'TAB. P - PARÂMETROS'!G$11)*(1+'TAB. P - PARÂMETROS'!G$14)*(1+'TAB. P - PARÂMETROS'!G$18)</f>
        <v>5951807.416894154</v>
      </c>
    </row>
    <row r="25" spans="2:11" ht="11.25" customHeight="1">
      <c r="B25" s="279" t="s">
        <v>470</v>
      </c>
      <c r="C25" s="274" t="s">
        <v>162</v>
      </c>
      <c r="D25" s="267">
        <v>0</v>
      </c>
      <c r="E25" s="294">
        <v>0</v>
      </c>
      <c r="F25" s="294">
        <v>0</v>
      </c>
      <c r="G25" s="267">
        <v>0</v>
      </c>
      <c r="H25" s="267">
        <v>0</v>
      </c>
      <c r="I25" s="268">
        <f>F25*(1+'TAB. P - PARÂMETROS'!E$11)*(1+'TAB. P - PARÂMETROS'!E$12)*(1+'TAB. P - PARÂMETROS'!E$14)*(1+'TAB. P - PARÂMETROS'!E$18)</f>
        <v>0</v>
      </c>
      <c r="J25" s="268">
        <f>I25*(1+'TAB. P - PARÂMETROS'!F$11)*(1+'TAB. P - PARÂMETROS'!F$12)*(1+'TAB. P - PARÂMETROS'!F$14)*(1+'TAB. P - PARÂMETROS'!F$18)</f>
        <v>0</v>
      </c>
      <c r="K25" s="268">
        <f>J25*(1+'TAB. P - PARÂMETROS'!G$11)*(1+'TAB. P - PARÂMETROS'!G$12)*(1+'TAB. P - PARÂMETROS'!G$14)*(1+'TAB. P - PARÂMETROS'!G$18)</f>
        <v>0</v>
      </c>
    </row>
    <row r="26" spans="2:11" ht="11.25" customHeight="1">
      <c r="B26" s="279" t="s">
        <v>218</v>
      </c>
      <c r="C26" s="274" t="s">
        <v>163</v>
      </c>
      <c r="D26" s="267">
        <v>0</v>
      </c>
      <c r="E26" s="294">
        <v>0</v>
      </c>
      <c r="F26" s="294">
        <v>0</v>
      </c>
      <c r="G26" s="267">
        <v>0</v>
      </c>
      <c r="H26" s="267">
        <v>0</v>
      </c>
      <c r="I26" s="268">
        <f>F26*(1+'TAB. P - PARÂMETROS'!E$11)*(1+'TAB. P - PARÂMETROS'!E$12)*(1+'TAB. P - PARÂMETROS'!E$14)*(1+'TAB. P - PARÂMETROS'!E$18)</f>
        <v>0</v>
      </c>
      <c r="J26" s="268">
        <f>I26*(1+'TAB. P - PARÂMETROS'!F$11)*(1+'TAB. P - PARÂMETROS'!F$12)*(1+'TAB. P - PARÂMETROS'!F$14)*(1+'TAB. P - PARÂMETROS'!F$18)</f>
        <v>0</v>
      </c>
      <c r="K26" s="268">
        <f>J26*(1+'TAB. P - PARÂMETROS'!G$11)*(1+'TAB. P - PARÂMETROS'!G$12)*(1+'TAB. P - PARÂMETROS'!G$14)*(1+'TAB. P - PARÂMETROS'!G$18)</f>
        <v>0</v>
      </c>
    </row>
    <row r="27" spans="2:11" ht="11.25" customHeight="1">
      <c r="B27" s="279" t="s">
        <v>534</v>
      </c>
      <c r="C27" s="274" t="s">
        <v>164</v>
      </c>
      <c r="D27" s="267">
        <v>0</v>
      </c>
      <c r="E27" s="294">
        <v>0</v>
      </c>
      <c r="F27" s="294">
        <v>0</v>
      </c>
      <c r="G27" s="267">
        <v>0</v>
      </c>
      <c r="H27" s="267">
        <v>0</v>
      </c>
      <c r="I27" s="268">
        <f>F27*(1+'TAB. P - PARÂMETROS'!E$11)*(1+'TAB. P - PARÂMETROS'!E$12)*(1+'TAB. P - PARÂMETROS'!E$14)*(1+'TAB. P - PARÂMETROS'!E$18)</f>
        <v>0</v>
      </c>
      <c r="J27" s="268">
        <f>I27*(1+'TAB. P - PARÂMETROS'!F$11)*(1+'TAB. P - PARÂMETROS'!F$12)*(1+'TAB. P - PARÂMETROS'!F$14)*(1+'TAB. P - PARÂMETROS'!F$18)</f>
        <v>0</v>
      </c>
      <c r="K27" s="268">
        <f>J27*(1+'TAB. P - PARÂMETROS'!G$11)*(1+'TAB. P - PARÂMETROS'!G$12)*(1+'TAB. P - PARÂMETROS'!G$14)*(1+'TAB. P - PARÂMETROS'!G$18)</f>
        <v>0</v>
      </c>
    </row>
    <row r="28" spans="2:16" s="109" customFormat="1" ht="2.25" customHeight="1">
      <c r="B28" s="280"/>
      <c r="C28" s="274"/>
      <c r="D28" s="269"/>
      <c r="E28" s="269"/>
      <c r="F28" s="293"/>
      <c r="G28" s="269"/>
      <c r="H28" s="269"/>
      <c r="I28" s="269"/>
      <c r="J28" s="269"/>
      <c r="K28" s="269"/>
      <c r="L28" s="200"/>
      <c r="M28" s="200"/>
      <c r="N28" s="200"/>
      <c r="O28" s="200"/>
      <c r="P28" s="200"/>
    </row>
    <row r="29" spans="2:11" ht="12.75">
      <c r="B29" s="281" t="s">
        <v>286</v>
      </c>
      <c r="C29" s="274" t="s">
        <v>623</v>
      </c>
      <c r="D29" s="263">
        <f aca="true" t="shared" si="4" ref="D29:K29">+D24+D25-D26-D27-D28</f>
        <v>2502272.77</v>
      </c>
      <c r="E29" s="263">
        <f t="shared" si="4"/>
        <v>3384145.49</v>
      </c>
      <c r="F29" s="290">
        <f t="shared" si="4"/>
        <v>3929503.25</v>
      </c>
      <c r="G29" s="263">
        <f t="shared" si="4"/>
        <v>5018800</v>
      </c>
      <c r="H29" s="263">
        <f>+H24+H25-H26-H27-H28</f>
        <v>3988800.9</v>
      </c>
      <c r="I29" s="263">
        <f t="shared" si="4"/>
        <v>4894714.560422056</v>
      </c>
      <c r="J29" s="263">
        <f t="shared" si="4"/>
        <v>5409793.645682875</v>
      </c>
      <c r="K29" s="263">
        <f t="shared" si="4"/>
        <v>5951807.416894154</v>
      </c>
    </row>
    <row r="30" spans="2:11" ht="12.75">
      <c r="B30" s="282" t="s">
        <v>272</v>
      </c>
      <c r="C30" s="274" t="s">
        <v>166</v>
      </c>
      <c r="D30" s="264">
        <f>+'II.  R.C.L. REALIZ. E ESTIMADA'!E32</f>
        <v>9275813.729999999</v>
      </c>
      <c r="E30" s="264">
        <f>+'II.  R.C.L. REALIZ. E ESTIMADA'!F32</f>
        <v>9747387.15</v>
      </c>
      <c r="F30" s="291">
        <f>+'II.  R.C.L. REALIZ. E ESTIMADA'!G32</f>
        <v>10788776.689999998</v>
      </c>
      <c r="G30" s="264">
        <f>+'II.  R.C.L. REALIZ. E ESTIMADA'!H32</f>
        <v>11291300</v>
      </c>
      <c r="H30" s="797">
        <f>H17</f>
        <v>11344434.58</v>
      </c>
      <c r="I30" s="264">
        <f>+'II.  R.C.L. REALIZ. E ESTIMADA'!K32</f>
        <v>12983993.665659849</v>
      </c>
      <c r="J30" s="264">
        <f>+'II.  R.C.L. REALIZ. E ESTIMADA'!K32</f>
        <v>12983993.665659849</v>
      </c>
      <c r="K30" s="264">
        <f>+'II.  R.C.L. REALIZ. E ESTIMADA'!L32</f>
        <v>13275076.985606978</v>
      </c>
    </row>
    <row r="31" spans="2:11" ht="12.75">
      <c r="B31" s="282" t="s">
        <v>270</v>
      </c>
      <c r="C31" s="274" t="s">
        <v>625</v>
      </c>
      <c r="D31" s="265">
        <f>IF(D30&lt;&gt;0,D29/D30,0)</f>
        <v>0.26976315424565994</v>
      </c>
      <c r="E31" s="265">
        <f aca="true" t="shared" si="5" ref="E31:K31">IF(E30&lt;&gt;0,E29/E30,0)</f>
        <v>0.3471848853361693</v>
      </c>
      <c r="F31" s="292">
        <f t="shared" si="5"/>
        <v>0.3642213907015255</v>
      </c>
      <c r="G31" s="265">
        <f t="shared" si="5"/>
        <v>0.44448380611621335</v>
      </c>
      <c r="H31" s="814">
        <f>IF(H30&lt;&gt;0,H29/H30,0)</f>
        <v>0.3516086122998296</v>
      </c>
      <c r="I31" s="265">
        <f>IF(I30&lt;&gt;0,I29/I30,0)</f>
        <v>0.37698066453680035</v>
      </c>
      <c r="J31" s="265">
        <f t="shared" si="5"/>
        <v>0.4166509769633308</v>
      </c>
      <c r="K31" s="265">
        <f t="shared" si="5"/>
        <v>0.4483444746382402</v>
      </c>
    </row>
    <row r="32" spans="2:16" s="109" customFormat="1" ht="3.75" customHeight="1">
      <c r="B32" s="283"/>
      <c r="C32" s="278"/>
      <c r="D32" s="266"/>
      <c r="E32" s="266"/>
      <c r="F32" s="266"/>
      <c r="G32" s="266"/>
      <c r="H32" s="266"/>
      <c r="I32" s="266"/>
      <c r="J32" s="266"/>
      <c r="K32" s="266"/>
      <c r="L32" s="200"/>
      <c r="M32" s="200"/>
      <c r="N32" s="200"/>
      <c r="O32" s="200"/>
      <c r="P32" s="200"/>
    </row>
    <row r="33" spans="2:11" ht="15.75" customHeight="1">
      <c r="B33" s="1063" t="s">
        <v>543</v>
      </c>
      <c r="C33" s="1056" t="s">
        <v>627</v>
      </c>
      <c r="D33" s="1051" t="s">
        <v>469</v>
      </c>
      <c r="E33" s="1051"/>
      <c r="F33" s="1051"/>
      <c r="G33" s="1051" t="s">
        <v>411</v>
      </c>
      <c r="H33" s="1051"/>
      <c r="I33" s="1051"/>
      <c r="J33" s="1051"/>
      <c r="K33" s="1051"/>
    </row>
    <row r="34" spans="2:11" ht="10.5" customHeight="1">
      <c r="B34" s="1064"/>
      <c r="C34" s="1057"/>
      <c r="D34" s="259" t="s">
        <v>539</v>
      </c>
      <c r="E34" s="259" t="s">
        <v>162</v>
      </c>
      <c r="F34" s="259" t="s">
        <v>163</v>
      </c>
      <c r="G34" s="259" t="s">
        <v>164</v>
      </c>
      <c r="H34" s="259" t="s">
        <v>168</v>
      </c>
      <c r="I34" s="259" t="s">
        <v>165</v>
      </c>
      <c r="J34" s="259" t="s">
        <v>166</v>
      </c>
      <c r="K34" s="259" t="s">
        <v>167</v>
      </c>
    </row>
    <row r="35" spans="1:16" s="51" customFormat="1" ht="12.75" customHeight="1">
      <c r="A35" s="61"/>
      <c r="B35" s="1064"/>
      <c r="C35" s="1057"/>
      <c r="D35" s="1053" t="s">
        <v>271</v>
      </c>
      <c r="E35" s="1054"/>
      <c r="F35" s="1054"/>
      <c r="G35" s="1055"/>
      <c r="H35" s="792"/>
      <c r="I35" s="284" t="s">
        <v>1106</v>
      </c>
      <c r="J35" s="284" t="s">
        <v>565</v>
      </c>
      <c r="K35" s="284" t="s">
        <v>566</v>
      </c>
      <c r="L35" s="62"/>
      <c r="M35" s="53"/>
      <c r="N35" s="53"/>
      <c r="O35" s="53"/>
      <c r="P35" s="53"/>
    </row>
    <row r="36" spans="2:11" ht="17.25" customHeight="1">
      <c r="B36" s="1065"/>
      <c r="C36" s="1058"/>
      <c r="D36" s="260">
        <v>2012</v>
      </c>
      <c r="E36" s="287">
        <v>2013</v>
      </c>
      <c r="F36" s="287">
        <v>2014</v>
      </c>
      <c r="G36" s="260" t="s">
        <v>1087</v>
      </c>
      <c r="H36" s="260" t="s">
        <v>1105</v>
      </c>
      <c r="I36" s="260">
        <v>2016</v>
      </c>
      <c r="J36" s="260">
        <v>2017</v>
      </c>
      <c r="K36" s="260">
        <v>2018</v>
      </c>
    </row>
    <row r="37" spans="2:11" ht="24" customHeight="1">
      <c r="B37" s="271" t="s">
        <v>267</v>
      </c>
      <c r="C37" s="272" t="s">
        <v>1133</v>
      </c>
      <c r="D37" s="267">
        <v>198445.44</v>
      </c>
      <c r="E37" s="267">
        <v>251078.25</v>
      </c>
      <c r="F37" s="790">
        <v>278469.27</v>
      </c>
      <c r="G37" s="267">
        <v>304500</v>
      </c>
      <c r="H37" s="267">
        <v>288219.14</v>
      </c>
      <c r="I37" s="268">
        <f>H37*(1+'TAB. P - PARÂMETROS'!E$11)*(1+'TAB. P - PARÂMETROS'!E$18)*(1+'TAB. P - PARÂMETROS'!E$21)</f>
        <v>321525.2941965416</v>
      </c>
      <c r="J37" s="268">
        <f>I37*(1+'TAB. P - PARÂMETROS'!F$11)*(1+'TAB. P - PARÂMETROS'!F$18)*(1+'TAB. P - PARÂMETROS'!F$21)</f>
        <v>355359.94428259076</v>
      </c>
      <c r="K37" s="268">
        <f>J37*(1+'TAB. P - PARÂMETROS'!G$11)*(1+'TAB. P - PARÂMETROS'!G$18)*(1+'TAB. P - PARÂMETROS'!G$21)</f>
        <v>390963.88708579604</v>
      </c>
    </row>
    <row r="38" spans="2:11" ht="11.25" customHeight="1">
      <c r="B38" s="271" t="s">
        <v>268</v>
      </c>
      <c r="C38" s="274" t="s">
        <v>162</v>
      </c>
      <c r="D38" s="267">
        <v>0</v>
      </c>
      <c r="E38" s="267">
        <v>0</v>
      </c>
      <c r="F38" s="267">
        <v>0</v>
      </c>
      <c r="G38" s="267">
        <v>0</v>
      </c>
      <c r="H38" s="267">
        <v>0</v>
      </c>
      <c r="I38" s="268">
        <f>F38*(1+'TAB. P - PARÂMETROS'!E$11)*(1+'TAB. P - PARÂMETROS'!E$12)*(1+'TAB. P - PARÂMETROS'!E$18)*(1+'TAB. P - PARÂMETROS'!E$21)</f>
        <v>0</v>
      </c>
      <c r="J38" s="268">
        <f>I38*(1+'TAB. P - PARÂMETROS'!F$11)*(1+'TAB. P - PARÂMETROS'!F$12)*(1+'TAB. P - PARÂMETROS'!F$18)*(1+'TAB. P - PARÂMETROS'!F$21)</f>
        <v>0</v>
      </c>
      <c r="K38" s="268">
        <f>J38*(1+'TAB. P - PARÂMETROS'!G$11)*(1+'TAB. P - PARÂMETROS'!G$12)*(1+'TAB. P - PARÂMETROS'!G$18)*(1+'TAB. P - PARÂMETROS'!G$21)</f>
        <v>0</v>
      </c>
    </row>
    <row r="39" spans="2:11" ht="11.25" customHeight="1">
      <c r="B39" s="271" t="s">
        <v>621</v>
      </c>
      <c r="C39" s="274" t="s">
        <v>163</v>
      </c>
      <c r="D39" s="267">
        <v>0</v>
      </c>
      <c r="E39" s="267">
        <v>0</v>
      </c>
      <c r="F39" s="267">
        <v>0</v>
      </c>
      <c r="G39" s="267">
        <v>0</v>
      </c>
      <c r="H39" s="267">
        <v>0</v>
      </c>
      <c r="I39" s="268">
        <f>F39*(1+'TAB. P - PARÂMETROS'!E$11)*(1+'TAB. P - PARÂMETROS'!E$12)*(1+'TAB. P - PARÂMETROS'!E$18)*(1+'TAB. P - PARÂMETROS'!E$21)</f>
        <v>0</v>
      </c>
      <c r="J39" s="268">
        <f>I39*(1+'TAB. P - PARÂMETROS'!F$11)*(1+'TAB. P - PARÂMETROS'!F$12)*(1+'TAB. P - PARÂMETROS'!F$18)*(1+'TAB. P - PARÂMETROS'!F$21)</f>
        <v>0</v>
      </c>
      <c r="K39" s="268">
        <f>J39*(1+'TAB. P - PARÂMETROS'!G$11)*(1+'TAB. P - PARÂMETROS'!G$12)*(1+'TAB. P - PARÂMETROS'!G$18)*(1+'TAB. P - PARÂMETROS'!G$21)</f>
        <v>0</v>
      </c>
    </row>
    <row r="40" spans="2:11" ht="11.25" customHeight="1">
      <c r="B40" s="271" t="s">
        <v>269</v>
      </c>
      <c r="C40" s="274" t="s">
        <v>164</v>
      </c>
      <c r="D40" s="267">
        <v>0</v>
      </c>
      <c r="E40" s="267">
        <v>0</v>
      </c>
      <c r="F40" s="267">
        <v>0</v>
      </c>
      <c r="G40" s="267">
        <v>0</v>
      </c>
      <c r="H40" s="267">
        <v>0</v>
      </c>
      <c r="I40" s="268">
        <f>F40*(1+'TAB. P - PARÂMETROS'!E$11)*(1+'TAB. P - PARÂMETROS'!E$12)*(1+'TAB. P - PARÂMETROS'!E$18)*(1+'TAB. P - PARÂMETROS'!E$21)</f>
        <v>0</v>
      </c>
      <c r="J40" s="268">
        <f>I40*(1+'TAB. P - PARÂMETROS'!F$11)*(1+'TAB. P - PARÂMETROS'!F$12)*(1+'TAB. P - PARÂMETROS'!F$18)*(1+'TAB. P - PARÂMETROS'!F$21)</f>
        <v>0</v>
      </c>
      <c r="K40" s="268">
        <f>J40*(1+'TAB. P - PARÂMETROS'!G$11)*(1+'TAB. P - PARÂMETROS'!G$12)*(1+'TAB. P - PARÂMETROS'!G$18)*(1+'TAB. P - PARÂMETROS'!G$21)</f>
        <v>0</v>
      </c>
    </row>
    <row r="41" spans="2:16" s="109" customFormat="1" ht="3.75" customHeight="1">
      <c r="B41" s="273"/>
      <c r="C41" s="274"/>
      <c r="D41" s="262"/>
      <c r="E41" s="262"/>
      <c r="F41" s="262"/>
      <c r="G41" s="262"/>
      <c r="H41" s="262"/>
      <c r="I41" s="262"/>
      <c r="J41" s="262"/>
      <c r="K41" s="262"/>
      <c r="L41" s="200"/>
      <c r="M41" s="200"/>
      <c r="N41" s="200"/>
      <c r="O41" s="200"/>
      <c r="P41" s="200"/>
    </row>
    <row r="42" spans="2:11" ht="12.75">
      <c r="B42" s="275" t="s">
        <v>286</v>
      </c>
      <c r="C42" s="274" t="s">
        <v>623</v>
      </c>
      <c r="D42" s="263">
        <f>+D37+D38-D39-D40-D41</f>
        <v>198445.44</v>
      </c>
      <c r="E42" s="263">
        <f aca="true" t="shared" si="6" ref="E42:K42">+E37+E38-E39-E40-E41</f>
        <v>251078.25</v>
      </c>
      <c r="F42" s="263">
        <f t="shared" si="6"/>
        <v>278469.27</v>
      </c>
      <c r="G42" s="263">
        <f t="shared" si="6"/>
        <v>304500</v>
      </c>
      <c r="H42" s="263">
        <f t="shared" si="6"/>
        <v>288219.14</v>
      </c>
      <c r="I42" s="263">
        <f>+I37+I38-I39-I40-I41</f>
        <v>321525.2941965416</v>
      </c>
      <c r="J42" s="263">
        <f t="shared" si="6"/>
        <v>355359.94428259076</v>
      </c>
      <c r="K42" s="263">
        <f t="shared" si="6"/>
        <v>390963.88708579604</v>
      </c>
    </row>
    <row r="43" spans="2:11" ht="12.75">
      <c r="B43" s="276" t="s">
        <v>626</v>
      </c>
      <c r="C43" s="274" t="s">
        <v>285</v>
      </c>
      <c r="D43" s="264">
        <f>+'II.  R.C.L. REALIZ. E ESTIMADA'!E32</f>
        <v>9275813.729999999</v>
      </c>
      <c r="E43" s="264">
        <f>+'II.  R.C.L. REALIZ. E ESTIMADA'!F32</f>
        <v>9747387.15</v>
      </c>
      <c r="F43" s="264">
        <f>+'II.  R.C.L. REALIZ. E ESTIMADA'!G32</f>
        <v>10788776.689999998</v>
      </c>
      <c r="G43" s="264">
        <f>+'II.  R.C.L. REALIZ. E ESTIMADA'!H32</f>
        <v>11291300</v>
      </c>
      <c r="H43" s="797">
        <f>H17</f>
        <v>11344434.58</v>
      </c>
      <c r="I43" s="264">
        <f>+'II.  R.C.L. REALIZ. E ESTIMADA'!J32</f>
        <v>12743078.009773554</v>
      </c>
      <c r="J43" s="264">
        <f>+'II.  R.C.L. REALIZ. E ESTIMADA'!K32</f>
        <v>12983993.665659849</v>
      </c>
      <c r="K43" s="264">
        <f>+'II.  R.C.L. REALIZ. E ESTIMADA'!L32</f>
        <v>13275076.985606978</v>
      </c>
    </row>
    <row r="44" spans="2:11" ht="12.75">
      <c r="B44" s="276" t="s">
        <v>270</v>
      </c>
      <c r="C44" s="274" t="s">
        <v>625</v>
      </c>
      <c r="D44" s="265">
        <f>IF(D43&lt;&gt;0,D42/D43,0)</f>
        <v>0.021393857808742353</v>
      </c>
      <c r="E44" s="265">
        <f aca="true" t="shared" si="7" ref="E44:K44">IF(E43&lt;&gt;0,E42/E43,0)</f>
        <v>0.025758518271227177</v>
      </c>
      <c r="F44" s="265">
        <f t="shared" si="7"/>
        <v>0.025811014353287174</v>
      </c>
      <c r="G44" s="265">
        <f t="shared" si="7"/>
        <v>0.026967665370683624</v>
      </c>
      <c r="H44" s="799">
        <f>IF(H43&lt;&gt;0,H42/H43,0)</f>
        <v>0.025406214648028762</v>
      </c>
      <c r="I44" s="265">
        <f t="shared" si="7"/>
        <v>0.025231368273029596</v>
      </c>
      <c r="J44" s="265">
        <f t="shared" si="7"/>
        <v>0.0273690786851236</v>
      </c>
      <c r="K44" s="265">
        <f t="shared" si="7"/>
        <v>0.029450969475332198</v>
      </c>
    </row>
    <row r="45" spans="2:16" s="109" customFormat="1" ht="11.25" customHeight="1">
      <c r="B45" s="1062" t="s">
        <v>348</v>
      </c>
      <c r="C45" s="1062"/>
      <c r="D45" s="1062"/>
      <c r="E45" s="1062"/>
      <c r="F45" s="1062"/>
      <c r="G45" s="1062"/>
      <c r="H45" s="1062"/>
      <c r="I45" s="1062"/>
      <c r="J45" s="1062"/>
      <c r="K45" s="1062"/>
      <c r="L45" s="200"/>
      <c r="M45" s="200"/>
      <c r="N45" s="200"/>
      <c r="O45" s="200"/>
      <c r="P45" s="200"/>
    </row>
    <row r="46" spans="2:11" ht="9.75" customHeight="1">
      <c r="B46" s="1050" t="s">
        <v>1050</v>
      </c>
      <c r="C46" s="1050"/>
      <c r="D46" s="1050"/>
      <c r="E46" s="1050"/>
      <c r="F46" s="1050"/>
      <c r="G46" s="1050"/>
      <c r="H46" s="1050"/>
      <c r="I46" s="1050"/>
      <c r="J46" s="1050"/>
      <c r="K46" s="1050"/>
    </row>
    <row r="47" spans="2:16" s="109" customFormat="1" ht="11.25" customHeight="1">
      <c r="B47" s="1028" t="s">
        <v>46</v>
      </c>
      <c r="C47" s="1029"/>
      <c r="D47" s="1029"/>
      <c r="E47" s="1029"/>
      <c r="F47" s="1029"/>
      <c r="G47" s="1029"/>
      <c r="H47" s="1029"/>
      <c r="I47" s="1029"/>
      <c r="J47" s="1029"/>
      <c r="K47" s="1030"/>
      <c r="L47" s="200"/>
      <c r="M47" s="200"/>
      <c r="N47" s="200"/>
      <c r="O47" s="200"/>
      <c r="P47" s="200"/>
    </row>
    <row r="48" spans="2:11" ht="10.5" customHeight="1">
      <c r="B48" s="1031" t="s">
        <v>108</v>
      </c>
      <c r="C48" s="1032"/>
      <c r="D48" s="1032"/>
      <c r="E48" s="1032"/>
      <c r="F48" s="1032"/>
      <c r="G48" s="1032"/>
      <c r="H48" s="1032"/>
      <c r="I48" s="1032"/>
      <c r="J48" s="1032"/>
      <c r="K48" s="1033"/>
    </row>
  </sheetData>
  <sheetProtection selectLockedCells="1" selectUnlockedCells="1"/>
  <mergeCells count="26">
    <mergeCell ref="B8:B10"/>
    <mergeCell ref="B45:K45"/>
    <mergeCell ref="B33:B36"/>
    <mergeCell ref="B7:D7"/>
    <mergeCell ref="G7:J7"/>
    <mergeCell ref="D33:F33"/>
    <mergeCell ref="G33:K33"/>
    <mergeCell ref="C33:C36"/>
    <mergeCell ref="B20:B23"/>
    <mergeCell ref="D20:F20"/>
    <mergeCell ref="G8:K8"/>
    <mergeCell ref="D35:G35"/>
    <mergeCell ref="D22:G22"/>
    <mergeCell ref="C8:C10"/>
    <mergeCell ref="C20:C23"/>
    <mergeCell ref="G20:K20"/>
    <mergeCell ref="B47:K47"/>
    <mergeCell ref="B48:K48"/>
    <mergeCell ref="C1:J1"/>
    <mergeCell ref="B6:K6"/>
    <mergeCell ref="B4:K4"/>
    <mergeCell ref="B5:K5"/>
    <mergeCell ref="B2:K2"/>
    <mergeCell ref="B3:K3"/>
    <mergeCell ref="B46:K46"/>
    <mergeCell ref="D8:F8"/>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B1:K50"/>
  <sheetViews>
    <sheetView zoomScalePageLayoutView="0" workbookViewId="0" topLeftCell="A1">
      <selection activeCell="H47" sqref="H47"/>
    </sheetView>
  </sheetViews>
  <sheetFormatPr defaultColWidth="9.140625" defaultRowHeight="24" customHeight="1"/>
  <cols>
    <col min="1" max="1" width="1.421875" style="52" customWidth="1"/>
    <col min="2" max="2" width="29.00390625" style="55" customWidth="1"/>
    <col min="3" max="3" width="15.28125" style="52" customWidth="1"/>
    <col min="4" max="4" width="11.8515625" style="60" customWidth="1"/>
    <col min="5" max="5" width="12.00390625" style="55" customWidth="1"/>
    <col min="6" max="6" width="13.7109375" style="55" customWidth="1"/>
    <col min="7" max="7" width="13.28125" style="55" customWidth="1"/>
    <col min="8" max="10" width="12.00390625" style="55" customWidth="1"/>
    <col min="11" max="11" width="1.57421875" style="56" customWidth="1"/>
    <col min="12" max="16384" width="9.140625" style="52" customWidth="1"/>
  </cols>
  <sheetData>
    <row r="1" spans="2:11" s="220" customFormat="1" ht="14.25" customHeight="1">
      <c r="B1" s="401" t="s">
        <v>319</v>
      </c>
      <c r="C1" s="1034" t="s">
        <v>210</v>
      </c>
      <c r="D1" s="938"/>
      <c r="E1" s="938"/>
      <c r="F1" s="938"/>
      <c r="G1" s="938"/>
      <c r="H1" s="938"/>
      <c r="I1" s="938"/>
      <c r="J1" s="352" t="s">
        <v>349</v>
      </c>
      <c r="K1" s="480"/>
    </row>
    <row r="2" spans="2:11" s="64" customFormat="1" ht="12" customHeight="1">
      <c r="B2" s="1087" t="s">
        <v>414</v>
      </c>
      <c r="C2" s="1088"/>
      <c r="D2" s="1088"/>
      <c r="E2" s="1088"/>
      <c r="F2" s="1088"/>
      <c r="G2" s="1088"/>
      <c r="H2" s="1088"/>
      <c r="I2" s="1088"/>
      <c r="J2" s="1089"/>
      <c r="K2" s="59"/>
    </row>
    <row r="3" spans="2:11" s="64" customFormat="1" ht="12" customHeight="1">
      <c r="B3" s="1090" t="s">
        <v>451</v>
      </c>
      <c r="C3" s="1091"/>
      <c r="D3" s="1091"/>
      <c r="E3" s="1091"/>
      <c r="F3" s="1091"/>
      <c r="G3" s="1091"/>
      <c r="H3" s="1091"/>
      <c r="I3" s="1091"/>
      <c r="J3" s="1092"/>
      <c r="K3" s="59"/>
    </row>
    <row r="4" spans="2:10" s="59" customFormat="1" ht="14.25" customHeight="1">
      <c r="B4" s="1093" t="s">
        <v>528</v>
      </c>
      <c r="C4" s="1094"/>
      <c r="D4" s="1094"/>
      <c r="E4" s="1094"/>
      <c r="F4" s="1094"/>
      <c r="G4" s="1094"/>
      <c r="H4" s="1094"/>
      <c r="I4" s="1094"/>
      <c r="J4" s="1095"/>
    </row>
    <row r="5" spans="2:10" s="59" customFormat="1" ht="14.25" customHeight="1">
      <c r="B5" s="1076" t="s">
        <v>1083</v>
      </c>
      <c r="C5" s="1077"/>
      <c r="D5" s="1077"/>
      <c r="E5" s="1077"/>
      <c r="F5" s="1077"/>
      <c r="G5" s="1077"/>
      <c r="H5" s="1077"/>
      <c r="I5" s="1077"/>
      <c r="J5" s="1078"/>
    </row>
    <row r="6" spans="2:10" s="56" customFormat="1" ht="12" customHeight="1">
      <c r="B6" s="1084" t="s">
        <v>265</v>
      </c>
      <c r="C6" s="1085"/>
      <c r="D6" s="1085"/>
      <c r="E6" s="1085"/>
      <c r="F6" s="1085"/>
      <c r="G6" s="1085"/>
      <c r="H6" s="1085"/>
      <c r="I6" s="1085"/>
      <c r="J6" s="1086"/>
    </row>
    <row r="7" spans="2:10" s="59" customFormat="1" ht="12.75" customHeight="1">
      <c r="B7" s="1082" t="str">
        <f>'TAB. P - PARÂMETROS'!B8</f>
        <v>ANEXO do Projeto de Lei n°. 051/2015 </v>
      </c>
      <c r="C7" s="1083"/>
      <c r="D7" s="230"/>
      <c r="E7" s="230"/>
      <c r="F7" s="230"/>
      <c r="G7" s="230"/>
      <c r="H7" s="230"/>
      <c r="I7" s="230"/>
      <c r="J7" s="402"/>
    </row>
    <row r="8" spans="2:10" s="56" customFormat="1" ht="12.75" customHeight="1">
      <c r="B8" s="1075" t="s">
        <v>559</v>
      </c>
      <c r="C8" s="1075"/>
      <c r="D8" s="1075"/>
      <c r="E8" s="1075"/>
      <c r="F8" s="1075"/>
      <c r="G8" s="1075"/>
      <c r="H8" s="1075"/>
      <c r="I8" s="1075"/>
      <c r="J8" s="1075"/>
    </row>
    <row r="9" spans="2:10" s="56" customFormat="1" ht="15" customHeight="1">
      <c r="B9" s="1071" t="s">
        <v>525</v>
      </c>
      <c r="C9" s="1072" t="s">
        <v>232</v>
      </c>
      <c r="D9" s="1074" t="s">
        <v>526</v>
      </c>
      <c r="E9" s="1074"/>
      <c r="F9" s="1074"/>
      <c r="G9" s="82" t="s">
        <v>546</v>
      </c>
      <c r="H9" s="1079" t="s">
        <v>156</v>
      </c>
      <c r="I9" s="1080"/>
      <c r="J9" s="1081"/>
    </row>
    <row r="10" spans="2:11" s="67" customFormat="1" ht="15" customHeight="1">
      <c r="B10" s="1071"/>
      <c r="C10" s="1073"/>
      <c r="D10" s="136">
        <v>2012</v>
      </c>
      <c r="E10" s="136">
        <v>2013</v>
      </c>
      <c r="F10" s="136">
        <v>2014</v>
      </c>
      <c r="G10" s="136">
        <v>2015</v>
      </c>
      <c r="H10" s="136">
        <v>2016</v>
      </c>
      <c r="I10" s="136">
        <v>2017</v>
      </c>
      <c r="J10" s="136">
        <v>2018</v>
      </c>
      <c r="K10" s="481"/>
    </row>
    <row r="11" spans="2:11" s="67" customFormat="1" ht="12" customHeight="1">
      <c r="B11" s="252" t="s">
        <v>169</v>
      </c>
      <c r="C11" s="253"/>
      <c r="D11" s="254">
        <f>'VLR 2012 a 2018 ATUALIZ média'!E11</f>
        <v>9417748.529999997</v>
      </c>
      <c r="E11" s="254">
        <f>'VLR 2012 a 2018 ATUALIZ média'!F11</f>
        <v>10151102.850000001</v>
      </c>
      <c r="F11" s="254">
        <f>'VLR 2012 a 2018 ATUALIZ média'!G11</f>
        <v>10417144.759999998</v>
      </c>
      <c r="G11" s="254">
        <f>'VLR 2012 a 2018 ATUALIZ média'!H11</f>
        <v>11914000</v>
      </c>
      <c r="H11" s="254">
        <f>'VLR 2012 a 2018 ATUALIZ média'!O11</f>
        <v>12093327.882285722</v>
      </c>
      <c r="I11" s="254">
        <f>'VLR 2012 a 2018 ATUALIZ média'!P11</f>
        <v>11808913.305749748</v>
      </c>
      <c r="J11" s="254">
        <f>'VLR 2012 a 2018 ATUALIZ média'!Q11</f>
        <v>12071794.697059035</v>
      </c>
      <c r="K11" s="481"/>
    </row>
    <row r="12" spans="2:11" s="50" customFormat="1" ht="12" customHeight="1">
      <c r="B12" s="91" t="s">
        <v>243</v>
      </c>
      <c r="C12" s="84" t="s">
        <v>240</v>
      </c>
      <c r="D12" s="81">
        <f aca="true" t="shared" si="0" ref="D12:J12">SUM(D13+D14+D15+D18+D19+D20+D21+D22)</f>
        <v>8243887.449999999</v>
      </c>
      <c r="E12" s="81">
        <f t="shared" si="0"/>
        <v>8749422.64</v>
      </c>
      <c r="F12" s="81">
        <f t="shared" si="0"/>
        <v>9901618.589999998</v>
      </c>
      <c r="G12" s="81">
        <f>SUM(G13+G14+G15+G18+G19+G20+G21+G22)</f>
        <v>10174000</v>
      </c>
      <c r="H12" s="81">
        <f>SUM(H13+H14+H15+H18+H19+H20+H21+H22)</f>
        <v>11589907.882285722</v>
      </c>
      <c r="I12" s="81">
        <f t="shared" si="0"/>
        <v>11808913.305749748</v>
      </c>
      <c r="J12" s="81">
        <f t="shared" si="0"/>
        <v>12071794.697059035</v>
      </c>
      <c r="K12" s="482"/>
    </row>
    <row r="13" spans="2:10" s="56" customFormat="1" ht="12.75" customHeight="1">
      <c r="B13" s="244" t="s">
        <v>97</v>
      </c>
      <c r="C13" s="245"/>
      <c r="D13" s="207">
        <f>'VLR 2012 a 2018 ATUALIZ média'!E14</f>
        <v>568605.53</v>
      </c>
      <c r="E13" s="207">
        <f>'VLR 2012 a 2018 ATUALIZ média'!F14</f>
        <v>465827.76</v>
      </c>
      <c r="F13" s="207">
        <f>'VLR 2012 a 2018 ATUALIZ média'!G14</f>
        <v>552829.33</v>
      </c>
      <c r="G13" s="207">
        <f>'VLR 2012 a 2018 ATUALIZ média'!H14</f>
        <v>466000</v>
      </c>
      <c r="H13" s="207">
        <f>'VLR 2012 a 2018 ATUALIZ média'!O14</f>
        <v>697753.6971963912</v>
      </c>
      <c r="I13" s="207">
        <f>'VLR 2012 a 2018 ATUALIZ média'!P14</f>
        <v>709430.5765255225</v>
      </c>
      <c r="J13" s="207">
        <f>'VLR 2012 a 2018 ATUALIZ média'!Q14</f>
        <v>723973.8620760392</v>
      </c>
    </row>
    <row r="14" spans="2:10" s="56" customFormat="1" ht="12.75" customHeight="1">
      <c r="B14" s="244" t="s">
        <v>100</v>
      </c>
      <c r="C14" s="245"/>
      <c r="D14" s="207">
        <f>'VLR 2012 a 2018 ATUALIZ média'!E23</f>
        <v>36216.59</v>
      </c>
      <c r="E14" s="207">
        <f>'VLR 2012 a 2018 ATUALIZ média'!F23</f>
        <v>32583.9</v>
      </c>
      <c r="F14" s="207">
        <f>'VLR 2012 a 2018 ATUALIZ média'!G23</f>
        <v>34203.72</v>
      </c>
      <c r="G14" s="207">
        <f>'VLR 2012 a 2018 ATUALIZ média'!H23</f>
        <v>34000</v>
      </c>
      <c r="H14" s="207">
        <f>'VLR 2012 a 2018 ATUALIZ média'!O23</f>
        <v>41699.783905825716</v>
      </c>
      <c r="I14" s="207">
        <f>'VLR 2012 a 2018 ATUALIZ média'!P23</f>
        <v>42492.0798000364</v>
      </c>
      <c r="J14" s="207">
        <f>'VLR 2012 a 2018 ATUALIZ média'!Q23</f>
        <v>43511.889715237274</v>
      </c>
    </row>
    <row r="15" spans="2:10" s="56" customFormat="1" ht="12.75" customHeight="1">
      <c r="B15" s="244" t="s">
        <v>102</v>
      </c>
      <c r="C15" s="245"/>
      <c r="D15" s="207">
        <f>'VLR 2012 a 2018 ATUALIZ média'!E28</f>
        <v>187976.68999999997</v>
      </c>
      <c r="E15" s="207">
        <f>'VLR 2012 a 2018 ATUALIZ média'!F28</f>
        <v>121958.35</v>
      </c>
      <c r="F15" s="207">
        <f>'VLR 2012 a 2018 ATUALIZ média'!G28</f>
        <v>227759.06</v>
      </c>
      <c r="G15" s="207">
        <f>'VLR 2012 a 2018 ATUALIZ média'!H28</f>
        <v>117200</v>
      </c>
      <c r="H15" s="207">
        <f>'VLR 2012 a 2018 ATUALIZ média'!O28</f>
        <v>216542.83886073309</v>
      </c>
      <c r="I15" s="207">
        <f>'VLR 2012 a 2018 ATUALIZ média'!P28</f>
        <v>220657.15279908697</v>
      </c>
      <c r="J15" s="207">
        <f>'VLR 2012 a 2018 ATUALIZ média'!Q28</f>
        <v>225952.92446626507</v>
      </c>
    </row>
    <row r="16" spans="2:10" ht="11.25" customHeight="1">
      <c r="B16" s="86" t="s">
        <v>242</v>
      </c>
      <c r="C16" s="87" t="s">
        <v>241</v>
      </c>
      <c r="D16" s="88">
        <f>'VLR 2012 a 2018 ATUALIZ média'!E29</f>
        <v>185265.41999999998</v>
      </c>
      <c r="E16" s="88">
        <f>'VLR 2012 a 2018 ATUALIZ média'!F29</f>
        <v>114639.82</v>
      </c>
      <c r="F16" s="88">
        <f>'VLR 2012 a 2018 ATUALIZ média'!G29</f>
        <v>203317.41999999998</v>
      </c>
      <c r="G16" s="88">
        <f>'VLR 2012 a 2018 ATUALIZ média'!H29</f>
        <v>114200</v>
      </c>
      <c r="H16" s="88">
        <f>'VLR 2012 a 2018 ATUALIZ média'!O29</f>
        <v>203102.55378375956</v>
      </c>
      <c r="I16" s="88">
        <f>'VLR 2012 a 2018 ATUALIZ média'!P29</f>
        <v>206961.50230565097</v>
      </c>
      <c r="J16" s="88">
        <f>'VLR 2012 a 2018 ATUALIZ média'!Q29</f>
        <v>211928.5783609866</v>
      </c>
    </row>
    <row r="17" spans="2:10" ht="12.75" customHeight="1">
      <c r="B17" s="63" t="s">
        <v>103</v>
      </c>
      <c r="C17" s="409"/>
      <c r="D17" s="85">
        <f>'VLR 2012 a 2018 ATUALIZ média'!E40</f>
        <v>2711.27</v>
      </c>
      <c r="E17" s="85">
        <f>'VLR 2012 a 2018 ATUALIZ média'!F40</f>
        <v>7318.53</v>
      </c>
      <c r="F17" s="85">
        <f>'VLR 2012 a 2018 ATUALIZ média'!G40</f>
        <v>24441.64</v>
      </c>
      <c r="G17" s="85">
        <f>'VLR 2012 a 2018 ATUALIZ média'!H40</f>
        <v>3000</v>
      </c>
      <c r="H17" s="85">
        <f>'VLR 2012 a 2018 ATUALIZ média'!O40</f>
        <v>13440.28507697351</v>
      </c>
      <c r="I17" s="85">
        <f>'VLR 2012 a 2018 ATUALIZ média'!P40</f>
        <v>13695.650493436007</v>
      </c>
      <c r="J17" s="85">
        <f>'VLR 2012 a 2018 ATUALIZ média'!Q40</f>
        <v>14024.346105278471</v>
      </c>
    </row>
    <row r="18" spans="2:10" s="56" customFormat="1" ht="21" customHeight="1">
      <c r="B18" s="246" t="s">
        <v>739</v>
      </c>
      <c r="C18" s="245" t="s">
        <v>381</v>
      </c>
      <c r="D18" s="207">
        <f>'VLR 2012 a 2018 ATUALIZ média'!E46-'VLR 2012 a 2018 ATUALIZ média'!E93</f>
        <v>7383263.22</v>
      </c>
      <c r="E18" s="207">
        <f>'VLR 2012 a 2018 ATUALIZ média'!F46-'VLR 2012 a 2018 ATUALIZ média'!F93</f>
        <v>8067484.66</v>
      </c>
      <c r="F18" s="207">
        <f>'VLR 2012 a 2018 ATUALIZ média'!G46-'VLR 2012 a 2018 ATUALIZ média'!G93</f>
        <v>9017444.469999999</v>
      </c>
      <c r="G18" s="207">
        <f>'VLR 2012 a 2018 ATUALIZ média'!H46-'VLR 2012 a 2018 ATUALIZ média'!H93</f>
        <v>9514764</v>
      </c>
      <c r="H18" s="207">
        <f>'VLR 2012 a 2018 ATUALIZ média'!O46-'VLR 2012 a 2018 ATUALIZ média'!O93</f>
        <v>10553565.016198818</v>
      </c>
      <c r="I18" s="207">
        <f>'VLR 2012 a 2018 ATUALIZ média'!P46-'VLR 2012 a 2018 ATUALIZ média'!P93</f>
        <v>10754460.366124794</v>
      </c>
      <c r="J18" s="207">
        <f>'VLR 2012 a 2018 ATUALIZ média'!Q46-'VLR 2012 a 2018 ATUALIZ média'!Q93</f>
        <v>10994517.935169179</v>
      </c>
    </row>
    <row r="19" spans="2:10" s="56" customFormat="1" ht="11.25" customHeight="1">
      <c r="B19" s="244" t="s">
        <v>95</v>
      </c>
      <c r="C19" s="245"/>
      <c r="D19" s="247">
        <f>'VLR 2012 a 2018 ATUALIZ média'!E41</f>
        <v>0</v>
      </c>
      <c r="E19" s="247">
        <f>'VLR 2012 a 2018 ATUALIZ média'!F41</f>
        <v>0</v>
      </c>
      <c r="F19" s="247">
        <f>'VLR 2012 a 2018 ATUALIZ média'!G41</f>
        <v>0</v>
      </c>
      <c r="G19" s="247">
        <f>'VLR 2012 a 2018 ATUALIZ média'!H41</f>
        <v>0</v>
      </c>
      <c r="H19" s="247">
        <f>'VLR 2012 a 2018 ATUALIZ média'!O41</f>
        <v>0</v>
      </c>
      <c r="I19" s="247">
        <f>'VLR 2012 a 2018 ATUALIZ média'!P41</f>
        <v>0</v>
      </c>
      <c r="J19" s="247">
        <f>'VLR 2012 a 2018 ATUALIZ média'!Q41</f>
        <v>0</v>
      </c>
    </row>
    <row r="20" spans="2:10" s="56" customFormat="1" ht="11.25" customHeight="1">
      <c r="B20" s="244" t="s">
        <v>93</v>
      </c>
      <c r="C20" s="245"/>
      <c r="D20" s="247">
        <f>'VLR 2012 a 2018 ATUALIZ média'!E42</f>
        <v>0</v>
      </c>
      <c r="E20" s="247">
        <f>'VLR 2012 a 2018 ATUALIZ média'!F42</f>
        <v>0</v>
      </c>
      <c r="F20" s="247">
        <f>'VLR 2012 a 2018 ATUALIZ média'!G42</f>
        <v>0</v>
      </c>
      <c r="G20" s="247">
        <f>'VLR 2012 a 2018 ATUALIZ média'!H42</f>
        <v>0</v>
      </c>
      <c r="H20" s="247">
        <f>'VLR 2012 a 2018 ATUALIZ média'!O42</f>
        <v>0</v>
      </c>
      <c r="I20" s="247">
        <f>'VLR 2012 a 2018 ATUALIZ média'!P42</f>
        <v>0</v>
      </c>
      <c r="J20" s="247">
        <f>'VLR 2012 a 2018 ATUALIZ média'!Q42</f>
        <v>0</v>
      </c>
    </row>
    <row r="21" spans="2:10" s="56" customFormat="1" ht="11.25" customHeight="1">
      <c r="B21" s="244" t="s">
        <v>94</v>
      </c>
      <c r="C21" s="245"/>
      <c r="D21" s="247">
        <f>'VLR 2012 a 2018 ATUALIZ média'!E43</f>
        <v>28833.56</v>
      </c>
      <c r="E21" s="247">
        <f>'VLR 2012 a 2018 ATUALIZ média'!F43</f>
        <v>23673.55</v>
      </c>
      <c r="F21" s="247">
        <f>'VLR 2012 a 2018 ATUALIZ média'!G43</f>
        <v>20908.89</v>
      </c>
      <c r="G21" s="247">
        <f>'VLR 2012 a 2018 ATUALIZ média'!H43</f>
        <v>20000</v>
      </c>
      <c r="H21" s="247">
        <f>'VLR 2012 a 2018 ATUALIZ média'!O43</f>
        <v>29870.90999439515</v>
      </c>
      <c r="I21" s="247">
        <f>'VLR 2012 a 2018 ATUALIZ média'!P43</f>
        <v>30438.45728428866</v>
      </c>
      <c r="J21" s="247">
        <f>'VLR 2012 a 2018 ATUALIZ média'!Q43</f>
        <v>31168.980259111588</v>
      </c>
    </row>
    <row r="22" spans="2:10" s="56" customFormat="1" ht="11.25" customHeight="1">
      <c r="B22" s="244" t="s">
        <v>529</v>
      </c>
      <c r="C22" s="245"/>
      <c r="D22" s="207">
        <f>'VLR 2012 a 2018 ATUALIZ média'!E80</f>
        <v>38991.85999999999</v>
      </c>
      <c r="E22" s="207">
        <f>'VLR 2012 a 2018 ATUALIZ média'!F80</f>
        <v>37894.420000000006</v>
      </c>
      <c r="F22" s="207">
        <f>'VLR 2012 a 2018 ATUALIZ média'!G80</f>
        <v>48473.119999999995</v>
      </c>
      <c r="G22" s="207">
        <f>'VLR 2012 a 2018 ATUALIZ média'!H80</f>
        <v>22036</v>
      </c>
      <c r="H22" s="207">
        <f>'VLR 2012 a 2018 ATUALIZ média'!O80</f>
        <v>50475.63612955769</v>
      </c>
      <c r="I22" s="207">
        <f>'VLR 2012 a 2018 ATUALIZ média'!P80</f>
        <v>51434.673216019284</v>
      </c>
      <c r="J22" s="207">
        <f>'VLR 2012 a 2018 ATUALIZ média'!Q80</f>
        <v>52669.105373203754</v>
      </c>
    </row>
    <row r="23" spans="2:11" s="50" customFormat="1" ht="12" customHeight="1">
      <c r="B23" s="194" t="s">
        <v>236</v>
      </c>
      <c r="C23" s="89" t="s">
        <v>244</v>
      </c>
      <c r="D23" s="90">
        <f>D12-D16</f>
        <v>8058622.029999999</v>
      </c>
      <c r="E23" s="90">
        <f aca="true" t="shared" si="1" ref="E23:J23">E12-E16</f>
        <v>8634782.82</v>
      </c>
      <c r="F23" s="90">
        <f t="shared" si="1"/>
        <v>9698301.169999998</v>
      </c>
      <c r="G23" s="90">
        <f>G12-G16</f>
        <v>10059800</v>
      </c>
      <c r="H23" s="90">
        <f>H12-H16</f>
        <v>11386805.328501962</v>
      </c>
      <c r="I23" s="90">
        <f t="shared" si="1"/>
        <v>11601951.803444097</v>
      </c>
      <c r="J23" s="90">
        <f t="shared" si="1"/>
        <v>11859866.11869805</v>
      </c>
      <c r="K23" s="482"/>
    </row>
    <row r="24" spans="2:11" s="50" customFormat="1" ht="12.75" customHeight="1">
      <c r="B24" s="91" t="s">
        <v>246</v>
      </c>
      <c r="C24" s="84" t="s">
        <v>245</v>
      </c>
      <c r="D24" s="81">
        <f>'VLR 2012 a 2018 ATUALIZ média'!E97</f>
        <v>1173861.08</v>
      </c>
      <c r="E24" s="81">
        <f>'VLR 2012 a 2018 ATUALIZ média'!F97</f>
        <v>1401680.21</v>
      </c>
      <c r="F24" s="81">
        <f>'VLR 2012 a 2018 ATUALIZ média'!G97</f>
        <v>515526.17000000004</v>
      </c>
      <c r="G24" s="81">
        <f>SUM(G25:G30)</f>
        <v>1740000</v>
      </c>
      <c r="H24" s="81">
        <f>'VLR 2012 a 2018 ATUALIZ média'!O97</f>
        <v>503420</v>
      </c>
      <c r="I24" s="81">
        <f>'VLR 2012 a 2018 ATUALIZ média'!P97</f>
        <v>0</v>
      </c>
      <c r="J24" s="81">
        <f>'VLR 2012 a 2018 ATUALIZ média'!Q97</f>
        <v>0</v>
      </c>
      <c r="K24" s="482"/>
    </row>
    <row r="25" spans="2:10" s="56" customFormat="1" ht="12" customHeight="1">
      <c r="B25" s="410" t="s">
        <v>263</v>
      </c>
      <c r="C25" s="411" t="s">
        <v>247</v>
      </c>
      <c r="D25" s="412">
        <f>'VLR 2012 a 2018 ATUALIZ média'!E98</f>
        <v>0</v>
      </c>
      <c r="E25" s="412">
        <f>'VLR 2012 a 2018 ATUALIZ média'!F98</f>
        <v>0</v>
      </c>
      <c r="F25" s="412">
        <f>'VLR 2012 a 2018 ATUALIZ média'!G98</f>
        <v>0</v>
      </c>
      <c r="G25" s="412">
        <f>'VLR 2012 a 2018 ATUALIZ média'!H98</f>
        <v>339000</v>
      </c>
      <c r="H25" s="412">
        <f>'VLR 2012 a 2018 ATUALIZ média'!O98</f>
        <v>0</v>
      </c>
      <c r="I25" s="412">
        <f>'VLR 2012 a 2018 ATUALIZ média'!P98</f>
        <v>0</v>
      </c>
      <c r="J25" s="412">
        <f>'VLR 2012 a 2018 ATUALIZ média'!Q98</f>
        <v>0</v>
      </c>
    </row>
    <row r="26" spans="2:10" s="56" customFormat="1" ht="12" customHeight="1">
      <c r="B26" s="410" t="s">
        <v>111</v>
      </c>
      <c r="C26" s="411" t="s">
        <v>248</v>
      </c>
      <c r="D26" s="412">
        <f>'VLR 2012 a 2018 ATUALIZ média'!E99</f>
        <v>33245</v>
      </c>
      <c r="E26" s="412">
        <f>'VLR 2012 a 2018 ATUALIZ média'!F99</f>
        <v>0</v>
      </c>
      <c r="F26" s="412">
        <f>'VLR 2012 a 2018 ATUALIZ média'!G99</f>
        <v>0</v>
      </c>
      <c r="G26" s="412">
        <f>'VLR 2012 a 2018 ATUALIZ média'!H99</f>
        <v>14000</v>
      </c>
      <c r="H26" s="412">
        <f>'VLR 2012 a 2018 ATUALIZ média'!O99</f>
        <v>25000</v>
      </c>
      <c r="I26" s="412">
        <f>'VLR 2012 a 2018 ATUALIZ média'!P99</f>
        <v>0</v>
      </c>
      <c r="J26" s="412">
        <f>'VLR 2012 a 2018 ATUALIZ média'!Q99</f>
        <v>0</v>
      </c>
    </row>
    <row r="27" spans="2:10" s="56" customFormat="1" ht="11.25" customHeight="1">
      <c r="B27" s="410" t="s">
        <v>421</v>
      </c>
      <c r="C27" s="411" t="s">
        <v>249</v>
      </c>
      <c r="D27" s="412">
        <f>'VLR 2012 a 2018 ATUALIZ média'!E91</f>
        <v>0</v>
      </c>
      <c r="E27" s="412">
        <f>'VLR 2012 a 2018 ATUALIZ média'!F91</f>
        <v>0</v>
      </c>
      <c r="F27" s="412">
        <f>'VLR 2012 a 2018 ATUALIZ média'!G91</f>
        <v>0</v>
      </c>
      <c r="G27" s="412">
        <f>'VLR 2012 a 2018 ATUALIZ média'!H91</f>
        <v>0</v>
      </c>
      <c r="H27" s="412">
        <f>'VLR 2012 a 2018 ATUALIZ média'!O91</f>
        <v>0</v>
      </c>
      <c r="I27" s="412">
        <f>'VLR 2012 a 2018 ATUALIZ média'!P91</f>
        <v>0</v>
      </c>
      <c r="J27" s="412">
        <f>'VLR 2012 a 2018 ATUALIZ média'!Q91</f>
        <v>0</v>
      </c>
    </row>
    <row r="28" spans="2:10" s="56" customFormat="1" ht="12" customHeight="1">
      <c r="B28" s="410" t="s">
        <v>264</v>
      </c>
      <c r="C28" s="411" t="s">
        <v>422</v>
      </c>
      <c r="D28" s="412">
        <f>'VLR 2012 a 2018 ATUALIZ média'!E104</f>
        <v>0</v>
      </c>
      <c r="E28" s="412">
        <f>'VLR 2012 a 2018 ATUALIZ média'!F104</f>
        <v>0</v>
      </c>
      <c r="F28" s="412">
        <f>'VLR 2012 a 2018 ATUALIZ média'!G104</f>
        <v>0</v>
      </c>
      <c r="G28" s="412">
        <f>'VLR 2012 a 2018 ATUALIZ média'!H104</f>
        <v>0</v>
      </c>
      <c r="H28" s="412">
        <f>'VLR 2012 a 2018 ATUALIZ média'!O104</f>
        <v>0</v>
      </c>
      <c r="I28" s="412">
        <f>'VLR 2012 a 2018 ATUALIZ média'!P104</f>
        <v>0</v>
      </c>
      <c r="J28" s="412">
        <f>'VLR 2012 a 2018 ATUALIZ média'!Q104</f>
        <v>0</v>
      </c>
    </row>
    <row r="29" spans="2:10" s="56" customFormat="1" ht="12" customHeight="1">
      <c r="B29" s="244" t="s">
        <v>237</v>
      </c>
      <c r="C29" s="245"/>
      <c r="D29" s="248">
        <f>'VLR 2012 a 2018 ATUALIZ média'!E105</f>
        <v>1140616.08</v>
      </c>
      <c r="E29" s="248">
        <f>'VLR 2012 a 2018 ATUALIZ média'!F105</f>
        <v>1401680.21</v>
      </c>
      <c r="F29" s="248">
        <f>'VLR 2012 a 2018 ATUALIZ média'!G105</f>
        <v>515526.17000000004</v>
      </c>
      <c r="G29" s="248">
        <f>'VLR 2012 a 2018 ATUALIZ média'!H105</f>
        <v>1387000</v>
      </c>
      <c r="H29" s="248">
        <f>'VLR 2012 a 2018 ATUALIZ média'!O105</f>
        <v>478420</v>
      </c>
      <c r="I29" s="248">
        <f>'VLR 2012 a 2018 ATUALIZ média'!P105</f>
        <v>0</v>
      </c>
      <c r="J29" s="248">
        <f>'VLR 2012 a 2018 ATUALIZ média'!Q105</f>
        <v>0</v>
      </c>
    </row>
    <row r="30" spans="2:10" s="56" customFormat="1" ht="12" customHeight="1">
      <c r="B30" s="244" t="s">
        <v>113</v>
      </c>
      <c r="C30" s="245"/>
      <c r="D30" s="247">
        <f>'VLR 2012 a 2018 ATUALIZ média'!E129</f>
        <v>0</v>
      </c>
      <c r="E30" s="247">
        <f>'VLR 2012 a 2018 ATUALIZ média'!F129</f>
        <v>0</v>
      </c>
      <c r="F30" s="247">
        <f>'VLR 2012 a 2018 ATUALIZ média'!G129</f>
        <v>0</v>
      </c>
      <c r="G30" s="247">
        <f>'VLR 2012 a 2018 ATUALIZ média'!H129</f>
        <v>0</v>
      </c>
      <c r="H30" s="247">
        <f>'VLR 2012 a 2018 ATUALIZ média'!O129</f>
        <v>0</v>
      </c>
      <c r="I30" s="247">
        <f>'VLR 2012 a 2018 ATUALIZ média'!P129</f>
        <v>0</v>
      </c>
      <c r="J30" s="247">
        <f>'VLR 2012 a 2018 ATUALIZ média'!Q129</f>
        <v>0</v>
      </c>
    </row>
    <row r="31" spans="2:10" ht="12" customHeight="1">
      <c r="B31" s="194" t="s">
        <v>542</v>
      </c>
      <c r="C31" s="89" t="s">
        <v>423</v>
      </c>
      <c r="D31" s="255">
        <f>D24-D25-D26-D27-D28</f>
        <v>1140616.08</v>
      </c>
      <c r="E31" s="255">
        <f aca="true" t="shared" si="2" ref="E31:J31">E24-E25-E26-E27-E28</f>
        <v>1401680.21</v>
      </c>
      <c r="F31" s="255">
        <f t="shared" si="2"/>
        <v>515526.17000000004</v>
      </c>
      <c r="G31" s="255">
        <f>G24-G26</f>
        <v>1726000</v>
      </c>
      <c r="H31" s="255">
        <f>H24-H25-H26-H27-H28</f>
        <v>478420</v>
      </c>
      <c r="I31" s="255">
        <f t="shared" si="2"/>
        <v>0</v>
      </c>
      <c r="J31" s="255">
        <f t="shared" si="2"/>
        <v>0</v>
      </c>
    </row>
    <row r="32" spans="2:11" s="50" customFormat="1" ht="11.25" customHeight="1">
      <c r="B32" s="103" t="s">
        <v>524</v>
      </c>
      <c r="C32" s="87" t="s">
        <v>424</v>
      </c>
      <c r="D32" s="104">
        <f>D23+D31</f>
        <v>9199238.11</v>
      </c>
      <c r="E32" s="104">
        <f aca="true" t="shared" si="3" ref="E32:J32">E23+E31</f>
        <v>10036463.030000001</v>
      </c>
      <c r="F32" s="104">
        <f t="shared" si="3"/>
        <v>10213827.339999998</v>
      </c>
      <c r="G32" s="104">
        <f>G23+G31</f>
        <v>11785800</v>
      </c>
      <c r="H32" s="104">
        <f>H23+H31</f>
        <v>11865225.328501962</v>
      </c>
      <c r="I32" s="104">
        <f t="shared" si="3"/>
        <v>11601951.803444097</v>
      </c>
      <c r="J32" s="104">
        <f t="shared" si="3"/>
        <v>11859866.11869805</v>
      </c>
      <c r="K32" s="482"/>
    </row>
    <row r="33" spans="2:11" s="50" customFormat="1" ht="12.75" customHeight="1">
      <c r="B33" s="118" t="s">
        <v>170</v>
      </c>
      <c r="C33" s="119"/>
      <c r="D33" s="120">
        <f aca="true" t="shared" si="4" ref="D33:J33">D34+D39+D44</f>
        <v>9311987.549999999</v>
      </c>
      <c r="E33" s="120">
        <f t="shared" si="4"/>
        <v>9110230.28</v>
      </c>
      <c r="F33" s="120">
        <f t="shared" si="4"/>
        <v>10215104.9</v>
      </c>
      <c r="G33" s="120">
        <f t="shared" si="4"/>
        <v>11914000</v>
      </c>
      <c r="H33" s="120">
        <f t="shared" si="4"/>
        <v>11821893.220134826</v>
      </c>
      <c r="I33" s="120">
        <f t="shared" si="4"/>
        <v>11532461.316203108</v>
      </c>
      <c r="J33" s="120">
        <f t="shared" si="4"/>
        <v>12356587.558981955</v>
      </c>
      <c r="K33" s="482"/>
    </row>
    <row r="34" spans="2:11" s="67" customFormat="1" ht="12.75" customHeight="1">
      <c r="B34" s="110" t="s">
        <v>146</v>
      </c>
      <c r="C34" s="111" t="s">
        <v>736</v>
      </c>
      <c r="D34" s="112">
        <f aca="true" t="shared" si="5" ref="D34:J34">SUM(D35:D37)</f>
        <v>6297877.039999999</v>
      </c>
      <c r="E34" s="112">
        <f t="shared" si="5"/>
        <v>7620529.13</v>
      </c>
      <c r="F34" s="112">
        <f t="shared" si="5"/>
        <v>8545411.42</v>
      </c>
      <c r="G34" s="112">
        <f t="shared" si="5"/>
        <v>9527799</v>
      </c>
      <c r="H34" s="112">
        <f t="shared" si="5"/>
        <v>10240522.24570163</v>
      </c>
      <c r="I34" s="112">
        <f t="shared" si="5"/>
        <v>11028357.813304808</v>
      </c>
      <c r="J34" s="112">
        <f t="shared" si="5"/>
        <v>11845503.070371836</v>
      </c>
      <c r="K34" s="481"/>
    </row>
    <row r="35" spans="2:11" s="67" customFormat="1" ht="12.75" customHeight="1">
      <c r="B35" s="96" t="s">
        <v>530</v>
      </c>
      <c r="C35" s="97" t="s">
        <v>735</v>
      </c>
      <c r="D35" s="117">
        <f>'I. MÉDIA DESPESA REAL E FIXADA'!D13</f>
        <v>2755249.28</v>
      </c>
      <c r="E35" s="117">
        <f>'I. MÉDIA DESPESA REAL E FIXADA'!E13</f>
        <v>3744102.57</v>
      </c>
      <c r="F35" s="117">
        <f>'I. MÉDIA DESPESA REAL E FIXADA'!F13</f>
        <v>4322475.51</v>
      </c>
      <c r="G35" s="117">
        <f>'I. MÉDIA DESPESA REAL E FIXADA'!G13</f>
        <v>5328731</v>
      </c>
      <c r="H35" s="117">
        <f>'I. MÉDIA DESPESA REAL E FIXADA'!N13</f>
        <v>5216239.854618598</v>
      </c>
      <c r="I35" s="117">
        <f>'I. MÉDIA DESPESA REAL E FIXADA'!O13</f>
        <v>5765153.5899654655</v>
      </c>
      <c r="J35" s="117">
        <f>'I. MÉDIA DESPESA REAL E FIXADA'!P13</f>
        <v>6342771.30397995</v>
      </c>
      <c r="K35" s="481"/>
    </row>
    <row r="36" spans="2:11" s="67" customFormat="1" ht="12.75" customHeight="1">
      <c r="B36" s="96" t="s">
        <v>147</v>
      </c>
      <c r="C36" s="97" t="s">
        <v>425</v>
      </c>
      <c r="D36" s="117">
        <f>'I. MÉDIA DESPESA REAL E FIXADA'!D14</f>
        <v>0</v>
      </c>
      <c r="E36" s="117">
        <f>'I. MÉDIA DESPESA REAL E FIXADA'!E14</f>
        <v>0</v>
      </c>
      <c r="F36" s="117">
        <f>'I. MÉDIA DESPESA REAL E FIXADA'!F14</f>
        <v>0</v>
      </c>
      <c r="G36" s="117">
        <f>'I. MÉDIA DESPESA REAL E FIXADA'!G14</f>
        <v>91000</v>
      </c>
      <c r="H36" s="117">
        <f>'I. MÉDIA DESPESA REAL E FIXADA'!N14</f>
        <v>98674.0625</v>
      </c>
      <c r="I36" s="117">
        <f>'I. MÉDIA DESPESA REAL E FIXADA'!O14</f>
        <v>84912.1875</v>
      </c>
      <c r="J36" s="117">
        <f>'I. MÉDIA DESPESA REAL E FIXADA'!P14</f>
        <v>71221.25</v>
      </c>
      <c r="K36" s="481"/>
    </row>
    <row r="37" spans="2:11" s="67" customFormat="1" ht="12.75" customHeight="1">
      <c r="B37" s="96" t="s">
        <v>144</v>
      </c>
      <c r="C37" s="97" t="s">
        <v>289</v>
      </c>
      <c r="D37" s="117">
        <f>'I. MÉDIA DESPESA REAL E FIXADA'!D15</f>
        <v>3542627.76</v>
      </c>
      <c r="E37" s="117">
        <f>'I. MÉDIA DESPESA REAL E FIXADA'!E15</f>
        <v>3876426.56</v>
      </c>
      <c r="F37" s="117">
        <f>'I. MÉDIA DESPESA REAL E FIXADA'!F15</f>
        <v>4222935.91</v>
      </c>
      <c r="G37" s="117">
        <f>'I. MÉDIA DESPESA REAL E FIXADA'!G15</f>
        <v>4108068</v>
      </c>
      <c r="H37" s="117">
        <f>'I. MÉDIA DESPESA REAL E FIXADA'!N15</f>
        <v>4925608.328583033</v>
      </c>
      <c r="I37" s="117">
        <f>'I. MÉDIA DESPESA REAL E FIXADA'!O15</f>
        <v>5178292.0358393425</v>
      </c>
      <c r="J37" s="117">
        <f>'I. MÉDIA DESPESA REAL E FIXADA'!P15</f>
        <v>5431510.516391886</v>
      </c>
      <c r="K37" s="481"/>
    </row>
    <row r="38" spans="2:11" s="66" customFormat="1" ht="12.75" customHeight="1">
      <c r="B38" s="249" t="s">
        <v>145</v>
      </c>
      <c r="C38" s="250" t="s">
        <v>737</v>
      </c>
      <c r="D38" s="251">
        <f aca="true" t="shared" si="6" ref="D38:J38">D34-D36</f>
        <v>6297877.039999999</v>
      </c>
      <c r="E38" s="251">
        <f t="shared" si="6"/>
        <v>7620529.13</v>
      </c>
      <c r="F38" s="251">
        <f t="shared" si="6"/>
        <v>8545411.42</v>
      </c>
      <c r="G38" s="251">
        <f t="shared" si="6"/>
        <v>9436799</v>
      </c>
      <c r="H38" s="251">
        <f t="shared" si="6"/>
        <v>10141848.18320163</v>
      </c>
      <c r="I38" s="251">
        <f t="shared" si="6"/>
        <v>10943445.625804808</v>
      </c>
      <c r="J38" s="251">
        <f t="shared" si="6"/>
        <v>11774281.820371836</v>
      </c>
      <c r="K38" s="483"/>
    </row>
    <row r="39" spans="2:11" s="67" customFormat="1" ht="13.5" customHeight="1">
      <c r="B39" s="110" t="s">
        <v>148</v>
      </c>
      <c r="C39" s="111" t="s">
        <v>738</v>
      </c>
      <c r="D39" s="112">
        <f aca="true" t="shared" si="7" ref="D39:J39">SUM(D40:D42)</f>
        <v>3014110.51</v>
      </c>
      <c r="E39" s="112">
        <f t="shared" si="7"/>
        <v>1489701.15</v>
      </c>
      <c r="F39" s="112">
        <f t="shared" si="7"/>
        <v>1669693.48</v>
      </c>
      <c r="G39" s="112">
        <f t="shared" si="7"/>
        <v>2239201</v>
      </c>
      <c r="H39" s="112">
        <f t="shared" si="7"/>
        <v>1369064.4729371434</v>
      </c>
      <c r="I39" s="112">
        <f t="shared" si="7"/>
        <v>288339.1330574975</v>
      </c>
      <c r="J39" s="112">
        <f t="shared" si="7"/>
        <v>290967.9469705904</v>
      </c>
      <c r="K39" s="481"/>
    </row>
    <row r="40" spans="2:11" s="67" customFormat="1" ht="12" customHeight="1">
      <c r="B40" s="96" t="s">
        <v>149</v>
      </c>
      <c r="C40" s="97" t="s">
        <v>439</v>
      </c>
      <c r="D40" s="115">
        <f>'I. MÉDIA DESPESA REAL E FIXADA'!D17</f>
        <v>3014110.51</v>
      </c>
      <c r="E40" s="115">
        <f>'I. MÉDIA DESPESA REAL E FIXADA'!E17</f>
        <v>1489701.15</v>
      </c>
      <c r="F40" s="115">
        <f>'I. MÉDIA DESPESA REAL E FIXADA'!F17</f>
        <v>1669693.48</v>
      </c>
      <c r="G40" s="115">
        <f>'I. MÉDIA DESPESA REAL E FIXADA'!G17</f>
        <v>2224701</v>
      </c>
      <c r="H40" s="115">
        <f>'I. MÉDIA DESPESA REAL E FIXADA'!N17</f>
        <v>1198814.4729371434</v>
      </c>
      <c r="I40" s="115">
        <f>'I. MÉDIA DESPESA REAL E FIXADA'!O17</f>
        <v>118089.13305749749</v>
      </c>
      <c r="J40" s="115">
        <f>'I. MÉDIA DESPESA REAL E FIXADA'!P17</f>
        <v>120717.94697059036</v>
      </c>
      <c r="K40" s="481"/>
    </row>
    <row r="41" spans="2:11" s="67" customFormat="1" ht="12" customHeight="1">
      <c r="B41" s="96" t="s">
        <v>150</v>
      </c>
      <c r="C41" s="97" t="s">
        <v>435</v>
      </c>
      <c r="D41" s="115">
        <f>'I. MÉDIA DESPESA REAL E FIXADA'!D18</f>
        <v>0</v>
      </c>
      <c r="E41" s="115">
        <f>'I. MÉDIA DESPESA REAL E FIXADA'!E18</f>
        <v>0</v>
      </c>
      <c r="F41" s="115">
        <f>'I. MÉDIA DESPESA REAL E FIXADA'!F18</f>
        <v>0</v>
      </c>
      <c r="G41" s="115">
        <f>'I. MÉDIA DESPESA REAL E FIXADA'!G18</f>
        <v>0</v>
      </c>
      <c r="H41" s="115">
        <f>'I. MÉDIA DESPESA REAL E FIXADA'!N18</f>
        <v>0</v>
      </c>
      <c r="I41" s="115">
        <f>'I. MÉDIA DESPESA REAL E FIXADA'!O18</f>
        <v>0</v>
      </c>
      <c r="J41" s="115">
        <f>'I. MÉDIA DESPESA REAL E FIXADA'!P18</f>
        <v>0</v>
      </c>
      <c r="K41" s="481"/>
    </row>
    <row r="42" spans="2:11" s="67" customFormat="1" ht="12" customHeight="1">
      <c r="B42" s="96" t="s">
        <v>151</v>
      </c>
      <c r="C42" s="97" t="s">
        <v>426</v>
      </c>
      <c r="D42" s="115">
        <f>'I. MÉDIA DESPESA REAL E FIXADA'!D19</f>
        <v>0</v>
      </c>
      <c r="E42" s="115">
        <f>'I. MÉDIA DESPESA REAL E FIXADA'!E19</f>
        <v>0</v>
      </c>
      <c r="F42" s="115">
        <f>'I. MÉDIA DESPESA REAL E FIXADA'!F19</f>
        <v>0</v>
      </c>
      <c r="G42" s="115">
        <f>'I. MÉDIA DESPESA REAL E FIXADA'!G19</f>
        <v>14500</v>
      </c>
      <c r="H42" s="115">
        <f>'I. MÉDIA DESPESA REAL E FIXADA'!N19</f>
        <v>170250</v>
      </c>
      <c r="I42" s="115">
        <f>'I. MÉDIA DESPESA REAL E FIXADA'!O19</f>
        <v>170250</v>
      </c>
      <c r="J42" s="115">
        <f>'I. MÉDIA DESPESA REAL E FIXADA'!P19</f>
        <v>170250</v>
      </c>
      <c r="K42" s="481"/>
    </row>
    <row r="43" spans="2:11" s="66" customFormat="1" ht="11.25" customHeight="1">
      <c r="B43" s="249" t="s">
        <v>152</v>
      </c>
      <c r="C43" s="250" t="s">
        <v>427</v>
      </c>
      <c r="D43" s="251">
        <f aca="true" t="shared" si="8" ref="D43:J43">D39-D42</f>
        <v>3014110.51</v>
      </c>
      <c r="E43" s="251">
        <f t="shared" si="8"/>
        <v>1489701.15</v>
      </c>
      <c r="F43" s="251">
        <f t="shared" si="8"/>
        <v>1669693.48</v>
      </c>
      <c r="G43" s="251">
        <f t="shared" si="8"/>
        <v>2224701</v>
      </c>
      <c r="H43" s="251">
        <f t="shared" si="8"/>
        <v>1198814.4729371434</v>
      </c>
      <c r="I43" s="251">
        <f t="shared" si="8"/>
        <v>118089.1330574975</v>
      </c>
      <c r="J43" s="251">
        <f t="shared" si="8"/>
        <v>120717.94697059039</v>
      </c>
      <c r="K43" s="483"/>
    </row>
    <row r="44" spans="2:11" s="67" customFormat="1" ht="12.75" customHeight="1">
      <c r="B44" s="110" t="s">
        <v>153</v>
      </c>
      <c r="C44" s="111" t="s">
        <v>428</v>
      </c>
      <c r="D44" s="112">
        <f>'I. MÉDIA DESPESA REAL E FIXADA'!D20</f>
        <v>0</v>
      </c>
      <c r="E44" s="112">
        <f>'I. MÉDIA DESPESA REAL E FIXADA'!E20</f>
        <v>0</v>
      </c>
      <c r="F44" s="112">
        <f>'I. MÉDIA DESPESA REAL E FIXADA'!F20</f>
        <v>0</v>
      </c>
      <c r="G44" s="112">
        <f>'I. MÉDIA DESPESA REAL E FIXADA'!G20</f>
        <v>147000</v>
      </c>
      <c r="H44" s="112">
        <f>'I. MÉDIA DESPESA REAL E FIXADA'!N20</f>
        <v>212306.50149605228</v>
      </c>
      <c r="I44" s="112">
        <f>'I. MÉDIA DESPESA REAL E FIXADA'!O20</f>
        <v>215764.36984080225</v>
      </c>
      <c r="J44" s="112">
        <f>'I. MÉDIA DESPESA REAL E FIXADA'!P20</f>
        <v>220116.54163952867</v>
      </c>
      <c r="K44" s="481"/>
    </row>
    <row r="45" spans="2:11" s="66" customFormat="1" ht="12" customHeight="1">
      <c r="B45" s="187" t="s">
        <v>154</v>
      </c>
      <c r="C45" s="105" t="s">
        <v>429</v>
      </c>
      <c r="D45" s="188">
        <f aca="true" t="shared" si="9" ref="D45:J45">D38+D43+D44</f>
        <v>9311987.549999999</v>
      </c>
      <c r="E45" s="188">
        <f t="shared" si="9"/>
        <v>9110230.28</v>
      </c>
      <c r="F45" s="188">
        <f t="shared" si="9"/>
        <v>10215104.9</v>
      </c>
      <c r="G45" s="188">
        <f t="shared" si="9"/>
        <v>11808500</v>
      </c>
      <c r="H45" s="188">
        <f t="shared" si="9"/>
        <v>11552969.157634826</v>
      </c>
      <c r="I45" s="188">
        <f t="shared" si="9"/>
        <v>11277299.128703108</v>
      </c>
      <c r="J45" s="188">
        <f t="shared" si="9"/>
        <v>12115116.308981955</v>
      </c>
      <c r="K45" s="483"/>
    </row>
    <row r="46" spans="2:11" s="66" customFormat="1" ht="12" customHeight="1">
      <c r="B46" s="106" t="s">
        <v>155</v>
      </c>
      <c r="C46" s="107" t="s">
        <v>734</v>
      </c>
      <c r="D46" s="113">
        <f aca="true" t="shared" si="10" ref="D46:I46">D32-D45</f>
        <v>-112749.43999999948</v>
      </c>
      <c r="E46" s="113">
        <f t="shared" si="10"/>
        <v>926232.7500000019</v>
      </c>
      <c r="F46" s="113">
        <f t="shared" si="10"/>
        <v>-1277.5600000023842</v>
      </c>
      <c r="G46" s="113">
        <f t="shared" si="10"/>
        <v>-22700</v>
      </c>
      <c r="H46" s="113">
        <f>H32-H45</f>
        <v>312256.17086713575</v>
      </c>
      <c r="I46" s="113">
        <f t="shared" si="10"/>
        <v>324652.67474098876</v>
      </c>
      <c r="J46" s="113">
        <f>J32-J45</f>
        <v>-255250.19028390571</v>
      </c>
      <c r="K46" s="483"/>
    </row>
    <row r="47" spans="4:10" ht="24" customHeight="1">
      <c r="D47" s="65"/>
      <c r="E47" s="65"/>
      <c r="F47" s="65"/>
      <c r="G47" s="65"/>
      <c r="H47" s="65"/>
      <c r="I47" s="65"/>
      <c r="J47" s="65"/>
    </row>
    <row r="48" spans="4:10" ht="24" customHeight="1">
      <c r="D48" s="65"/>
      <c r="E48" s="65"/>
      <c r="F48" s="65"/>
      <c r="G48" s="65"/>
      <c r="H48" s="65"/>
      <c r="I48" s="65"/>
      <c r="J48" s="65"/>
    </row>
    <row r="49" spans="4:10" ht="24" customHeight="1">
      <c r="D49" s="65"/>
      <c r="E49" s="65"/>
      <c r="F49" s="65"/>
      <c r="G49" s="65"/>
      <c r="H49" s="65"/>
      <c r="I49" s="65"/>
      <c r="J49" s="65"/>
    </row>
    <row r="50" spans="4:10" ht="24" customHeight="1">
      <c r="D50" s="65"/>
      <c r="E50" s="65"/>
      <c r="F50" s="65"/>
      <c r="G50" s="65"/>
      <c r="H50" s="65"/>
      <c r="I50" s="65"/>
      <c r="J50" s="65"/>
    </row>
  </sheetData>
  <sheetProtection selectLockedCells="1" selectUnlockedCells="1"/>
  <mergeCells count="12">
    <mergeCell ref="B2:J2"/>
    <mergeCell ref="B3:J3"/>
    <mergeCell ref="B4:J4"/>
    <mergeCell ref="C1:I1"/>
    <mergeCell ref="B9:B10"/>
    <mergeCell ref="C9:C10"/>
    <mergeCell ref="D9:F9"/>
    <mergeCell ref="B8:J8"/>
    <mergeCell ref="B5:J5"/>
    <mergeCell ref="H9:J9"/>
    <mergeCell ref="B7:C7"/>
    <mergeCell ref="B6:J6"/>
  </mergeCells>
  <printOptions/>
  <pageMargins left="0.5905511811023623" right="0.1968503937007874" top="0.1968503937007874" bottom="0.1968503937007874"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L30"/>
  <sheetViews>
    <sheetView zoomScalePageLayoutView="0" workbookViewId="0" topLeftCell="A12">
      <selection activeCell="L26" sqref="L26"/>
    </sheetView>
  </sheetViews>
  <sheetFormatPr defaultColWidth="9.140625" defaultRowHeight="24" customHeight="1"/>
  <cols>
    <col min="1" max="1" width="27.421875" style="55" customWidth="1"/>
    <col min="2" max="2" width="16.7109375" style="52" customWidth="1"/>
    <col min="3" max="3" width="11.8515625" style="60" customWidth="1"/>
    <col min="4" max="4" width="12.00390625" style="55" customWidth="1"/>
    <col min="5" max="5" width="13.7109375" style="55" customWidth="1"/>
    <col min="6" max="6" width="13.28125" style="55" customWidth="1"/>
    <col min="7" max="9" width="12.00390625" style="55" customWidth="1"/>
    <col min="10" max="10" width="0.42578125" style="67" customWidth="1"/>
    <col min="11" max="11" width="5.8515625" style="52" customWidth="1"/>
    <col min="12" max="12" width="16.421875" style="52" customWidth="1"/>
    <col min="13" max="16384" width="9.140625" style="52" customWidth="1"/>
  </cols>
  <sheetData>
    <row r="1" spans="1:9" ht="12" customHeight="1">
      <c r="A1" s="414" t="s">
        <v>390</v>
      </c>
      <c r="B1" s="1102" t="s">
        <v>210</v>
      </c>
      <c r="C1" s="1103"/>
      <c r="D1" s="1103"/>
      <c r="E1" s="1103"/>
      <c r="F1" s="1103"/>
      <c r="G1" s="1103"/>
      <c r="H1" s="1103"/>
      <c r="I1" s="453" t="s">
        <v>349</v>
      </c>
    </row>
    <row r="2" spans="1:9" ht="14.25" customHeight="1">
      <c r="A2" s="1097" t="s">
        <v>414</v>
      </c>
      <c r="B2" s="1098"/>
      <c r="C2" s="1098"/>
      <c r="D2" s="1098"/>
      <c r="E2" s="1098"/>
      <c r="F2" s="1098"/>
      <c r="G2" s="1098"/>
      <c r="H2" s="1098"/>
      <c r="I2" s="1099"/>
    </row>
    <row r="3" spans="1:9" ht="13.5" customHeight="1">
      <c r="A3" s="1047" t="s">
        <v>451</v>
      </c>
      <c r="B3" s="1048"/>
      <c r="C3" s="1048"/>
      <c r="D3" s="1048"/>
      <c r="E3" s="1048"/>
      <c r="F3" s="1048"/>
      <c r="G3" s="1048"/>
      <c r="H3" s="1048"/>
      <c r="I3" s="1049"/>
    </row>
    <row r="4" spans="1:9" ht="12" customHeight="1">
      <c r="A4" s="1109" t="s">
        <v>545</v>
      </c>
      <c r="B4" s="1110"/>
      <c r="C4" s="1110"/>
      <c r="D4" s="1110"/>
      <c r="E4" s="1110"/>
      <c r="F4" s="1110"/>
      <c r="G4" s="1110"/>
      <c r="H4" s="1110"/>
      <c r="I4" s="1111"/>
    </row>
    <row r="5" spans="1:9" ht="15" customHeight="1">
      <c r="A5" s="945" t="s">
        <v>1081</v>
      </c>
      <c r="B5" s="946"/>
      <c r="C5" s="946"/>
      <c r="D5" s="946"/>
      <c r="E5" s="946"/>
      <c r="F5" s="946"/>
      <c r="G5" s="946"/>
      <c r="H5" s="946"/>
      <c r="I5" s="947"/>
    </row>
    <row r="6" spans="1:9" ht="15" customHeight="1">
      <c r="A6" s="1084" t="s">
        <v>558</v>
      </c>
      <c r="B6" s="1085"/>
      <c r="C6" s="1085"/>
      <c r="D6" s="1085"/>
      <c r="E6" s="1085"/>
      <c r="F6" s="1085"/>
      <c r="G6" s="1085"/>
      <c r="H6" s="1085"/>
      <c r="I6" s="1086"/>
    </row>
    <row r="7" spans="1:10" s="56" customFormat="1" ht="15.75" customHeight="1">
      <c r="A7" s="1100" t="str">
        <f>'TAB. P - PARÂMETROS'!B8</f>
        <v>ANEXO do Projeto de Lei n°. 051/2015 </v>
      </c>
      <c r="B7" s="1101"/>
      <c r="C7" s="454"/>
      <c r="D7" s="454"/>
      <c r="E7" s="454"/>
      <c r="F7" s="454"/>
      <c r="G7" s="454"/>
      <c r="H7" s="454"/>
      <c r="I7" s="455"/>
      <c r="J7" s="481"/>
    </row>
    <row r="8" spans="1:9" ht="15.75" customHeight="1">
      <c r="A8" s="1112" t="s">
        <v>544</v>
      </c>
      <c r="B8" s="1113"/>
      <c r="C8" s="1113"/>
      <c r="D8" s="1113"/>
      <c r="E8" s="1113"/>
      <c r="F8" s="1113"/>
      <c r="G8" s="1113"/>
      <c r="H8" s="1113"/>
      <c r="I8" s="1114"/>
    </row>
    <row r="9" spans="1:10" s="56" customFormat="1" ht="15" customHeight="1">
      <c r="A9" s="982" t="s">
        <v>525</v>
      </c>
      <c r="B9" s="1107" t="s">
        <v>1075</v>
      </c>
      <c r="C9" s="1074" t="s">
        <v>526</v>
      </c>
      <c r="D9" s="1074"/>
      <c r="E9" s="1074"/>
      <c r="F9" s="82" t="s">
        <v>527</v>
      </c>
      <c r="G9" s="83" t="s">
        <v>156</v>
      </c>
      <c r="H9" s="1074" t="s">
        <v>290</v>
      </c>
      <c r="I9" s="1074"/>
      <c r="J9" s="481"/>
    </row>
    <row r="10" spans="1:9" s="67" customFormat="1" ht="33" customHeight="1">
      <c r="A10" s="982"/>
      <c r="B10" s="1108"/>
      <c r="C10" s="102">
        <v>2012</v>
      </c>
      <c r="D10" s="102">
        <v>2013</v>
      </c>
      <c r="E10" s="102">
        <v>2014</v>
      </c>
      <c r="F10" s="498" t="s">
        <v>1088</v>
      </c>
      <c r="G10" s="413">
        <v>2016</v>
      </c>
      <c r="H10" s="413">
        <v>2017</v>
      </c>
      <c r="I10" s="413">
        <v>2018</v>
      </c>
    </row>
    <row r="11" spans="1:9" s="67" customFormat="1" ht="15" customHeight="1">
      <c r="A11" s="108" t="s">
        <v>238</v>
      </c>
      <c r="B11" s="101"/>
      <c r="C11" s="102" t="s">
        <v>162</v>
      </c>
      <c r="D11" s="102" t="s">
        <v>163</v>
      </c>
      <c r="E11" s="102" t="s">
        <v>164</v>
      </c>
      <c r="F11" s="102" t="s">
        <v>165</v>
      </c>
      <c r="G11" s="102" t="s">
        <v>166</v>
      </c>
      <c r="H11" s="102" t="s">
        <v>167</v>
      </c>
      <c r="I11" s="102" t="s">
        <v>168</v>
      </c>
    </row>
    <row r="12" spans="1:9" ht="14.25" customHeight="1">
      <c r="A12" s="94" t="s">
        <v>157</v>
      </c>
      <c r="B12" s="95" t="s">
        <v>742</v>
      </c>
      <c r="C12" s="116">
        <f aca="true" t="shared" si="0" ref="C12:I12">SUM(C13:C14)</f>
        <v>0</v>
      </c>
      <c r="D12" s="116">
        <f t="shared" si="0"/>
        <v>0</v>
      </c>
      <c r="E12" s="116">
        <f t="shared" si="0"/>
        <v>0</v>
      </c>
      <c r="F12" s="116">
        <f t="shared" si="0"/>
        <v>0</v>
      </c>
      <c r="G12" s="116">
        <f t="shared" si="0"/>
        <v>510750</v>
      </c>
      <c r="H12" s="116">
        <f t="shared" si="0"/>
        <v>425412.1875</v>
      </c>
      <c r="I12" s="116">
        <f t="shared" si="0"/>
        <v>326383.4375</v>
      </c>
    </row>
    <row r="13" spans="1:9" ht="30" customHeight="1">
      <c r="A13" s="739" t="s">
        <v>740</v>
      </c>
      <c r="B13" s="128" t="s">
        <v>392</v>
      </c>
      <c r="C13" s="99">
        <v>0</v>
      </c>
      <c r="D13" s="99">
        <v>0</v>
      </c>
      <c r="E13" s="99">
        <v>0</v>
      </c>
      <c r="F13" s="99">
        <v>0</v>
      </c>
      <c r="G13" s="740">
        <f>681000-'I. MÉDIA DESPESA REAL E FIXADA'!N19</f>
        <v>510750</v>
      </c>
      <c r="H13" s="740">
        <f>G13-'I. MÉDIA DESPESA REAL E FIXADA'!O19+'I. MÉDIA DESPESA REAL E FIXADA'!O14</f>
        <v>425412.1875</v>
      </c>
      <c r="I13" s="740">
        <f>H13-'I. MÉDIA DESPESA REAL E FIXADA'!P19+'I. MÉDIA DESPESA REAL E FIXADA'!P14</f>
        <v>326383.4375</v>
      </c>
    </row>
    <row r="14" spans="1:10" ht="14.25" customHeight="1">
      <c r="A14" s="92" t="s">
        <v>741</v>
      </c>
      <c r="B14" s="121" t="s">
        <v>289</v>
      </c>
      <c r="C14" s="99">
        <v>0</v>
      </c>
      <c r="D14" s="99">
        <v>0</v>
      </c>
      <c r="E14" s="99">
        <v>0</v>
      </c>
      <c r="F14" s="99">
        <v>0</v>
      </c>
      <c r="G14" s="98">
        <v>0</v>
      </c>
      <c r="H14" s="99">
        <v>0</v>
      </c>
      <c r="I14" s="99">
        <v>0</v>
      </c>
      <c r="J14" s="1096" t="s">
        <v>1159</v>
      </c>
    </row>
    <row r="15" spans="1:11" ht="14.25" customHeight="1">
      <c r="A15" s="114" t="s">
        <v>158</v>
      </c>
      <c r="B15" s="866" t="s">
        <v>239</v>
      </c>
      <c r="C15" s="115">
        <f aca="true" t="shared" si="1" ref="C15:I15">SUM(C16:C19)</f>
        <v>1991588.2600000002</v>
      </c>
      <c r="D15" s="115">
        <f t="shared" si="1"/>
        <v>1979204.24</v>
      </c>
      <c r="E15" s="115">
        <f t="shared" si="1"/>
        <v>2118274.19</v>
      </c>
      <c r="F15" s="115">
        <f t="shared" si="1"/>
        <v>1880458.7699999998</v>
      </c>
      <c r="G15" s="115">
        <f t="shared" si="1"/>
        <v>478343.9141662613</v>
      </c>
      <c r="H15" s="115">
        <f t="shared" si="1"/>
        <v>486724.5495318145</v>
      </c>
      <c r="I15" s="115">
        <f t="shared" si="1"/>
        <v>-63954.70661415</v>
      </c>
      <c r="J15" s="1096"/>
      <c r="K15" s="836" t="s">
        <v>472</v>
      </c>
    </row>
    <row r="16" spans="1:11" ht="37.5" customHeight="1">
      <c r="A16" s="92" t="s">
        <v>1118</v>
      </c>
      <c r="B16" s="128" t="s">
        <v>59</v>
      </c>
      <c r="C16" s="99">
        <v>2065455.83</v>
      </c>
      <c r="D16" s="99">
        <v>1988879.86</v>
      </c>
      <c r="E16" s="99">
        <v>2103435.15</v>
      </c>
      <c r="F16" s="99">
        <v>2661495.8</v>
      </c>
      <c r="G16" s="491">
        <f>'I. MÉDIA DESPESA REAL E FIXADA'!N22+'I. MÉDIA DESPESA REAL E FIXADA'!N20</f>
        <v>483741.1636469475</v>
      </c>
      <c r="H16" s="491">
        <f>'I. MÉDIA DESPESA REAL E FIXADA'!O22+'I. MÉDIA DESPESA REAL E FIXADA'!O20</f>
        <v>492216.3593874421</v>
      </c>
      <c r="I16" s="491">
        <f>'I. MÉDIA DESPESA REAL E FIXADA'!P22+'I. MÉDIA DESPESA REAL E FIXADA'!P20</f>
        <v>-64676.32028339108</v>
      </c>
      <c r="J16" s="485">
        <f>SUM(C16+D16+E16)/3</f>
        <v>2052590.28</v>
      </c>
      <c r="K16" s="490">
        <v>1</v>
      </c>
    </row>
    <row r="17" spans="1:11" ht="20.25" customHeight="1">
      <c r="A17" s="675" t="s">
        <v>1174</v>
      </c>
      <c r="B17" s="128" t="s">
        <v>391</v>
      </c>
      <c r="C17" s="99">
        <v>853250.16</v>
      </c>
      <c r="D17" s="99">
        <v>147480.06</v>
      </c>
      <c r="E17" s="99">
        <v>59484.46</v>
      </c>
      <c r="F17" s="99">
        <v>51792.48</v>
      </c>
      <c r="G17" s="99">
        <f>G16*$K$17</f>
        <v>83288.1730004061</v>
      </c>
      <c r="H17" s="99">
        <f>H16*$K$17</f>
        <v>84747.39049540886</v>
      </c>
      <c r="I17" s="99">
        <f>I16*$K$17</f>
        <v>-11135.650545390054</v>
      </c>
      <c r="J17" s="485">
        <f>SUM(C17+D17+E17)/3</f>
        <v>353404.8933333333</v>
      </c>
      <c r="K17" s="486">
        <f>J17/$J$16</f>
        <v>0.1721750788634414</v>
      </c>
    </row>
    <row r="18" spans="1:11" ht="30" customHeight="1">
      <c r="A18" s="92" t="s">
        <v>1117</v>
      </c>
      <c r="B18" s="128" t="s">
        <v>49</v>
      </c>
      <c r="C18" s="98">
        <v>0</v>
      </c>
      <c r="D18" s="98">
        <v>0</v>
      </c>
      <c r="E18" s="98">
        <v>0</v>
      </c>
      <c r="F18" s="99">
        <v>0</v>
      </c>
      <c r="G18" s="98">
        <f>G16*$K$18</f>
        <v>0</v>
      </c>
      <c r="H18" s="98">
        <f>H16*$K$18</f>
        <v>0</v>
      </c>
      <c r="I18" s="98">
        <f>I16*$K$18</f>
        <v>0</v>
      </c>
      <c r="J18" s="485">
        <f aca="true" t="shared" si="2" ref="J18:J24">SUM(C18+D18+E18)/3</f>
        <v>0</v>
      </c>
      <c r="K18" s="486">
        <f>J18/$J$16</f>
        <v>0</v>
      </c>
    </row>
    <row r="19" spans="1:11" ht="37.5" customHeight="1">
      <c r="A19" s="92" t="s">
        <v>1173</v>
      </c>
      <c r="B19" s="128" t="s">
        <v>60</v>
      </c>
      <c r="C19" s="99">
        <v>-927117.73</v>
      </c>
      <c r="D19" s="99">
        <v>-157155.68</v>
      </c>
      <c r="E19" s="99">
        <v>-44645.42</v>
      </c>
      <c r="F19" s="98">
        <v>-832829.51</v>
      </c>
      <c r="G19" s="99">
        <f>G16*$K$19</f>
        <v>-88685.42248109226</v>
      </c>
      <c r="H19" s="99">
        <f>H16*$K$19</f>
        <v>-90239.20035103653</v>
      </c>
      <c r="I19" s="99">
        <f>I16*$K$19</f>
        <v>11857.264214631135</v>
      </c>
      <c r="J19" s="485">
        <f>SUM(C19+D19+E19)/3</f>
        <v>-376306.2766666666</v>
      </c>
      <c r="K19" s="486">
        <f>J19/$J$16</f>
        <v>-0.1833323875365261</v>
      </c>
    </row>
    <row r="20" spans="1:11" ht="14.25" customHeight="1">
      <c r="A20" s="94" t="s">
        <v>159</v>
      </c>
      <c r="B20" s="95" t="s">
        <v>244</v>
      </c>
      <c r="C20" s="116">
        <f>C12-C15</f>
        <v>-1991588.2600000002</v>
      </c>
      <c r="D20" s="116">
        <f aca="true" t="shared" si="3" ref="D20:I20">D12-D15</f>
        <v>-1979204.24</v>
      </c>
      <c r="E20" s="116">
        <f t="shared" si="3"/>
        <v>-2118274.19</v>
      </c>
      <c r="F20" s="116">
        <f t="shared" si="3"/>
        <v>-1880458.7699999998</v>
      </c>
      <c r="G20" s="116">
        <f>G12-G15</f>
        <v>32406.085833738674</v>
      </c>
      <c r="H20" s="116">
        <f t="shared" si="3"/>
        <v>-61312.362031814526</v>
      </c>
      <c r="I20" s="116">
        <f t="shared" si="3"/>
        <v>390338.14411415</v>
      </c>
      <c r="J20" s="485">
        <f t="shared" si="2"/>
        <v>-2029688.8966666665</v>
      </c>
      <c r="K20" s="489"/>
    </row>
    <row r="21" spans="1:11" ht="14.25" customHeight="1">
      <c r="A21" s="92" t="s">
        <v>160</v>
      </c>
      <c r="B21" s="93" t="s">
        <v>245</v>
      </c>
      <c r="C21" s="98">
        <v>0</v>
      </c>
      <c r="D21" s="99">
        <v>0</v>
      </c>
      <c r="E21" s="99">
        <v>0</v>
      </c>
      <c r="F21" s="99">
        <v>0</v>
      </c>
      <c r="G21" s="99">
        <v>0</v>
      </c>
      <c r="H21" s="99">
        <v>0</v>
      </c>
      <c r="I21" s="99">
        <v>0</v>
      </c>
      <c r="J21" s="485">
        <f t="shared" si="2"/>
        <v>0</v>
      </c>
      <c r="K21" s="489"/>
    </row>
    <row r="22" spans="1:12" ht="16.5" customHeight="1">
      <c r="A22" s="92" t="s">
        <v>444</v>
      </c>
      <c r="B22" s="224" t="s">
        <v>44</v>
      </c>
      <c r="C22" s="98">
        <v>0</v>
      </c>
      <c r="D22" s="99">
        <v>0</v>
      </c>
      <c r="E22" s="99">
        <v>0</v>
      </c>
      <c r="F22" s="99">
        <v>0</v>
      </c>
      <c r="G22" s="98">
        <v>0</v>
      </c>
      <c r="H22" s="98">
        <v>0</v>
      </c>
      <c r="I22" s="98">
        <v>0</v>
      </c>
      <c r="J22" s="485">
        <f t="shared" si="2"/>
        <v>0</v>
      </c>
      <c r="K22" s="489"/>
      <c r="L22" s="805"/>
    </row>
    <row r="23" spans="1:11" ht="14.25" customHeight="1">
      <c r="A23" s="94" t="s">
        <v>161</v>
      </c>
      <c r="B23" s="95" t="s">
        <v>412</v>
      </c>
      <c r="C23" s="116">
        <f aca="true" t="shared" si="4" ref="C23:I23">C20+C21-C22</f>
        <v>-1991588.2600000002</v>
      </c>
      <c r="D23" s="116">
        <f t="shared" si="4"/>
        <v>-1979204.24</v>
      </c>
      <c r="E23" s="116">
        <f t="shared" si="4"/>
        <v>-2118274.19</v>
      </c>
      <c r="F23" s="116">
        <f t="shared" si="4"/>
        <v>-1880458.7699999998</v>
      </c>
      <c r="G23" s="116">
        <f t="shared" si="4"/>
        <v>32406.085833738674</v>
      </c>
      <c r="H23" s="116">
        <f>H20+H21-H22</f>
        <v>-61312.362031814526</v>
      </c>
      <c r="I23" s="116">
        <f t="shared" si="4"/>
        <v>390338.14411415</v>
      </c>
      <c r="J23" s="485">
        <f t="shared" si="2"/>
        <v>-2029688.8966666665</v>
      </c>
      <c r="K23" s="487"/>
    </row>
    <row r="24" spans="1:11" s="50" customFormat="1" ht="25.5" customHeight="1">
      <c r="A24" s="456" t="s">
        <v>229</v>
      </c>
      <c r="B24" s="457" t="s">
        <v>471</v>
      </c>
      <c r="C24" s="458">
        <f>C23-C25</f>
        <v>-1217981.9100000001</v>
      </c>
      <c r="D24" s="458">
        <f>D23-C23</f>
        <v>12384.020000000251</v>
      </c>
      <c r="E24" s="458">
        <f>E20-D20</f>
        <v>-139069.94999999995</v>
      </c>
      <c r="F24" s="458">
        <f>F20-E20</f>
        <v>237815.42000000016</v>
      </c>
      <c r="G24" s="458">
        <f>G20</f>
        <v>32406.085833738674</v>
      </c>
      <c r="H24" s="458">
        <f>(H20-G20)</f>
        <v>-93718.4478655532</v>
      </c>
      <c r="I24" s="458">
        <f>(I20-H20)</f>
        <v>451650.50614596455</v>
      </c>
      <c r="J24" s="485">
        <f t="shared" si="2"/>
        <v>-448222.6133333333</v>
      </c>
      <c r="K24" s="487"/>
    </row>
    <row r="25" spans="1:10" s="66" customFormat="1" ht="28.5" customHeight="1">
      <c r="A25" s="863" t="s">
        <v>1181</v>
      </c>
      <c r="B25" s="867" t="s">
        <v>1153</v>
      </c>
      <c r="C25" s="864">
        <v>-773606.35</v>
      </c>
      <c r="D25" s="865" t="s">
        <v>33</v>
      </c>
      <c r="E25" s="865" t="s">
        <v>34</v>
      </c>
      <c r="F25" s="865"/>
      <c r="G25" s="865" t="s">
        <v>1065</v>
      </c>
      <c r="H25" s="865" t="s">
        <v>341</v>
      </c>
      <c r="I25" s="865" t="s">
        <v>342</v>
      </c>
      <c r="J25" s="488"/>
    </row>
    <row r="26" spans="1:10" ht="21" customHeight="1">
      <c r="A26" s="1104" t="s">
        <v>1154</v>
      </c>
      <c r="B26" s="1105"/>
      <c r="C26" s="1105"/>
      <c r="D26" s="1105"/>
      <c r="E26" s="1105"/>
      <c r="F26" s="1105"/>
      <c r="G26" s="1105"/>
      <c r="H26" s="1105"/>
      <c r="I26" s="1106"/>
      <c r="J26" s="96"/>
    </row>
    <row r="27" spans="1:10" ht="19.5" customHeight="1">
      <c r="A27" s="1104" t="s">
        <v>1155</v>
      </c>
      <c r="B27" s="1105"/>
      <c r="C27" s="1105"/>
      <c r="D27" s="1105"/>
      <c r="E27" s="1105"/>
      <c r="F27" s="1105"/>
      <c r="G27" s="1105"/>
      <c r="H27" s="1105"/>
      <c r="I27" s="1106"/>
      <c r="J27" s="96"/>
    </row>
    <row r="28" spans="1:10" ht="14.25" customHeight="1">
      <c r="A28" s="1104" t="s">
        <v>1156</v>
      </c>
      <c r="B28" s="1105"/>
      <c r="C28" s="1105"/>
      <c r="D28" s="1105"/>
      <c r="E28" s="1105"/>
      <c r="F28" s="1105"/>
      <c r="G28" s="1105"/>
      <c r="H28" s="1105"/>
      <c r="I28" s="1106"/>
      <c r="J28" s="96"/>
    </row>
    <row r="29" spans="1:10" ht="15.75" customHeight="1">
      <c r="A29" s="1104" t="s">
        <v>1175</v>
      </c>
      <c r="B29" s="1105"/>
      <c r="C29" s="1105"/>
      <c r="D29" s="1105"/>
      <c r="E29" s="1105"/>
      <c r="F29" s="1105"/>
      <c r="G29" s="1105"/>
      <c r="H29" s="1105"/>
      <c r="I29" s="1106"/>
      <c r="J29" s="96"/>
    </row>
    <row r="30" spans="1:9" ht="19.5" customHeight="1">
      <c r="A30" s="989" t="s">
        <v>1157</v>
      </c>
      <c r="B30" s="990"/>
      <c r="C30" s="990"/>
      <c r="D30" s="990"/>
      <c r="E30" s="990"/>
      <c r="F30" s="990"/>
      <c r="G30" s="990"/>
      <c r="H30" s="990"/>
      <c r="I30" s="991"/>
    </row>
  </sheetData>
  <sheetProtection selectLockedCells="1" selectUnlockedCells="1"/>
  <mergeCells count="18">
    <mergeCell ref="A29:I29"/>
    <mergeCell ref="A30:I30"/>
    <mergeCell ref="A27:I27"/>
    <mergeCell ref="A28:I28"/>
    <mergeCell ref="A3:I3"/>
    <mergeCell ref="A4:I4"/>
    <mergeCell ref="H9:I9"/>
    <mergeCell ref="A8:I8"/>
    <mergeCell ref="J14:J15"/>
    <mergeCell ref="A2:I2"/>
    <mergeCell ref="A7:B7"/>
    <mergeCell ref="B1:H1"/>
    <mergeCell ref="A26:I26"/>
    <mergeCell ref="A5:I5"/>
    <mergeCell ref="A6:I6"/>
    <mergeCell ref="A9:A10"/>
    <mergeCell ref="B9:B10"/>
    <mergeCell ref="C9:E9"/>
  </mergeCells>
  <printOptions/>
  <pageMargins left="0.3937007874015748" right="0.3937007874015748" top="0.1968503937007874" bottom="0.1968503937007874"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B1:J22"/>
  <sheetViews>
    <sheetView zoomScalePageLayoutView="0" workbookViewId="0" topLeftCell="A1">
      <selection activeCell="G23" sqref="G23"/>
    </sheetView>
  </sheetViews>
  <sheetFormatPr defaultColWidth="9.140625" defaultRowHeight="12.75"/>
  <cols>
    <col min="1" max="1" width="4.00390625" style="68" customWidth="1"/>
    <col min="2" max="2" width="25.140625" style="69" customWidth="1"/>
    <col min="3" max="9" width="12.57421875" style="69" customWidth="1"/>
    <col min="10" max="10" width="2.00390625" style="74" customWidth="1"/>
    <col min="11" max="16384" width="9.140625" style="68" customWidth="1"/>
  </cols>
  <sheetData>
    <row r="1" spans="2:10" s="351" customFormat="1" ht="15" customHeight="1">
      <c r="B1" s="349" t="s">
        <v>578</v>
      </c>
      <c r="C1" s="1034" t="s">
        <v>210</v>
      </c>
      <c r="D1" s="938"/>
      <c r="E1" s="938"/>
      <c r="F1" s="938"/>
      <c r="G1" s="938"/>
      <c r="H1" s="938"/>
      <c r="I1" s="352" t="s">
        <v>349</v>
      </c>
      <c r="J1" s="437"/>
    </row>
    <row r="2" spans="2:9" s="151" customFormat="1" ht="13.5" customHeight="1">
      <c r="B2" s="881" t="s">
        <v>414</v>
      </c>
      <c r="C2" s="882"/>
      <c r="D2" s="882"/>
      <c r="E2" s="882"/>
      <c r="F2" s="882"/>
      <c r="G2" s="882"/>
      <c r="H2" s="882"/>
      <c r="I2" s="883"/>
    </row>
    <row r="3" spans="2:9" s="151" customFormat="1" ht="13.5" customHeight="1">
      <c r="B3" s="884" t="s">
        <v>451</v>
      </c>
      <c r="C3" s="885"/>
      <c r="D3" s="885"/>
      <c r="E3" s="885"/>
      <c r="F3" s="885"/>
      <c r="G3" s="885"/>
      <c r="H3" s="885"/>
      <c r="I3" s="886"/>
    </row>
    <row r="4" spans="2:9" s="151" customFormat="1" ht="13.5" customHeight="1">
      <c r="B4" s="942" t="s">
        <v>347</v>
      </c>
      <c r="C4" s="943"/>
      <c r="D4" s="943"/>
      <c r="E4" s="943"/>
      <c r="F4" s="943"/>
      <c r="G4" s="943"/>
      <c r="H4" s="943"/>
      <c r="I4" s="944"/>
    </row>
    <row r="5" spans="2:9" s="151" customFormat="1" ht="13.5" customHeight="1">
      <c r="B5" s="945" t="s">
        <v>1081</v>
      </c>
      <c r="C5" s="946"/>
      <c r="D5" s="946"/>
      <c r="E5" s="946"/>
      <c r="F5" s="946"/>
      <c r="G5" s="946"/>
      <c r="H5" s="946"/>
      <c r="I5" s="947"/>
    </row>
    <row r="6" spans="2:9" s="151" customFormat="1" ht="13.5" customHeight="1">
      <c r="B6" s="1124" t="s">
        <v>346</v>
      </c>
      <c r="C6" s="1125"/>
      <c r="D6" s="320"/>
      <c r="E6" s="320"/>
      <c r="F6" s="320"/>
      <c r="G6" s="320"/>
      <c r="H6" s="320"/>
      <c r="I6" s="321"/>
    </row>
    <row r="7" spans="2:9" s="61" customFormat="1" ht="12" customHeight="1">
      <c r="B7" s="948" t="str">
        <f>'TAB. P - PARÂMETROS'!B8</f>
        <v>ANEXO do Projeto de Lei n°. 051/2015 </v>
      </c>
      <c r="C7" s="950"/>
      <c r="D7" s="226"/>
      <c r="E7" s="226"/>
      <c r="F7" s="226"/>
      <c r="G7" s="226"/>
      <c r="H7" s="226"/>
      <c r="I7" s="391" t="s">
        <v>64</v>
      </c>
    </row>
    <row r="8" spans="2:10" s="143" customFormat="1" ht="15.75" customHeight="1">
      <c r="B8" s="1121" t="s">
        <v>365</v>
      </c>
      <c r="C8" s="1122"/>
      <c r="D8" s="1122"/>
      <c r="E8" s="1122"/>
      <c r="F8" s="1122"/>
      <c r="G8" s="1122"/>
      <c r="H8" s="1122"/>
      <c r="I8" s="1123"/>
      <c r="J8" s="256"/>
    </row>
    <row r="9" spans="2:10" s="152" customFormat="1" ht="15" customHeight="1">
      <c r="B9" s="392" t="s">
        <v>358</v>
      </c>
      <c r="C9" s="393">
        <v>2012</v>
      </c>
      <c r="D9" s="393">
        <v>2013</v>
      </c>
      <c r="E9" s="393">
        <v>2014</v>
      </c>
      <c r="F9" s="393">
        <v>2015</v>
      </c>
      <c r="G9" s="393">
        <v>2016</v>
      </c>
      <c r="H9" s="393">
        <v>2017</v>
      </c>
      <c r="I9" s="393">
        <v>2018</v>
      </c>
      <c r="J9" s="174"/>
    </row>
    <row r="10" spans="2:9" s="174" customFormat="1" ht="15" customHeight="1">
      <c r="B10" s="173" t="s">
        <v>361</v>
      </c>
      <c r="C10" s="175">
        <v>0</v>
      </c>
      <c r="D10" s="175">
        <v>0</v>
      </c>
      <c r="E10" s="175">
        <v>0</v>
      </c>
      <c r="F10" s="175">
        <v>0</v>
      </c>
      <c r="G10" s="175">
        <v>0</v>
      </c>
      <c r="H10" s="175">
        <v>0</v>
      </c>
      <c r="I10" s="175">
        <v>0</v>
      </c>
    </row>
    <row r="11" spans="2:10" s="150" customFormat="1" ht="17.25" customHeight="1">
      <c r="B11" s="173" t="s">
        <v>362</v>
      </c>
      <c r="C11" s="73">
        <v>0</v>
      </c>
      <c r="D11" s="73">
        <v>0</v>
      </c>
      <c r="E11" s="73">
        <v>0</v>
      </c>
      <c r="F11" s="73">
        <v>0</v>
      </c>
      <c r="G11" s="73">
        <v>0</v>
      </c>
      <c r="H11" s="73">
        <v>0</v>
      </c>
      <c r="I11" s="73">
        <v>0</v>
      </c>
      <c r="J11" s="155"/>
    </row>
    <row r="12" spans="2:10" s="152" customFormat="1" ht="15" customHeight="1">
      <c r="B12" s="171" t="s">
        <v>359</v>
      </c>
      <c r="C12" s="393">
        <v>2012</v>
      </c>
      <c r="D12" s="393">
        <v>2013</v>
      </c>
      <c r="E12" s="393">
        <v>2014</v>
      </c>
      <c r="F12" s="393">
        <v>2015</v>
      </c>
      <c r="G12" s="393">
        <v>2016</v>
      </c>
      <c r="H12" s="393">
        <v>2017</v>
      </c>
      <c r="I12" s="393">
        <v>2018</v>
      </c>
      <c r="J12" s="174"/>
    </row>
    <row r="13" spans="2:9" s="174" customFormat="1" ht="15" customHeight="1">
      <c r="B13" s="173" t="s">
        <v>363</v>
      </c>
      <c r="C13" s="175">
        <v>0</v>
      </c>
      <c r="D13" s="175">
        <v>0</v>
      </c>
      <c r="E13" s="175">
        <v>0</v>
      </c>
      <c r="F13" s="175">
        <v>0</v>
      </c>
      <c r="G13" s="175">
        <v>0</v>
      </c>
      <c r="H13" s="175">
        <v>0</v>
      </c>
      <c r="I13" s="175">
        <v>0</v>
      </c>
    </row>
    <row r="14" spans="2:10" s="150" customFormat="1" ht="17.25" customHeight="1">
      <c r="B14" s="173" t="s">
        <v>364</v>
      </c>
      <c r="C14" s="73">
        <v>0</v>
      </c>
      <c r="D14" s="73">
        <v>0</v>
      </c>
      <c r="E14" s="73">
        <v>0</v>
      </c>
      <c r="F14" s="73">
        <v>0</v>
      </c>
      <c r="G14" s="73">
        <v>0</v>
      </c>
      <c r="H14" s="73">
        <v>0</v>
      </c>
      <c r="I14" s="73">
        <v>0</v>
      </c>
      <c r="J14" s="155"/>
    </row>
    <row r="15" spans="2:10" s="149" customFormat="1" ht="15" customHeight="1">
      <c r="B15" s="172" t="s">
        <v>360</v>
      </c>
      <c r="C15" s="172">
        <f>C11-C14</f>
        <v>0</v>
      </c>
      <c r="D15" s="172">
        <f>D11-D14</f>
        <v>0</v>
      </c>
      <c r="E15" s="172"/>
      <c r="F15" s="172"/>
      <c r="G15" s="147">
        <f>G11-G14</f>
        <v>0</v>
      </c>
      <c r="H15" s="147">
        <f>H11-H14</f>
        <v>0</v>
      </c>
      <c r="I15" s="147">
        <f>I11-I14</f>
        <v>0</v>
      </c>
      <c r="J15" s="235"/>
    </row>
    <row r="16" spans="2:10" s="143" customFormat="1" ht="60.75" customHeight="1">
      <c r="B16" s="1118" t="s">
        <v>1144</v>
      </c>
      <c r="C16" s="1119"/>
      <c r="D16" s="1119"/>
      <c r="E16" s="1119"/>
      <c r="F16" s="1119"/>
      <c r="G16" s="1119"/>
      <c r="H16" s="1119"/>
      <c r="I16" s="1120"/>
      <c r="J16" s="256"/>
    </row>
    <row r="17" spans="2:9" ht="11.25" customHeight="1">
      <c r="B17" s="1115" t="s">
        <v>1044</v>
      </c>
      <c r="C17" s="1116"/>
      <c r="D17" s="1116"/>
      <c r="E17" s="1116"/>
      <c r="F17" s="1116"/>
      <c r="G17" s="1116"/>
      <c r="H17" s="1116"/>
      <c r="I17" s="1117"/>
    </row>
    <row r="18" spans="2:9" s="74" customFormat="1" ht="11.25">
      <c r="B18" s="127"/>
      <c r="C18" s="127"/>
      <c r="D18" s="127"/>
      <c r="E18" s="127"/>
      <c r="F18" s="127"/>
      <c r="G18" s="127"/>
      <c r="H18" s="127"/>
      <c r="I18" s="127"/>
    </row>
    <row r="19" spans="2:9" s="74" customFormat="1" ht="11.25">
      <c r="B19" s="127"/>
      <c r="C19" s="127"/>
      <c r="D19" s="127"/>
      <c r="E19" s="127"/>
      <c r="F19" s="127"/>
      <c r="G19" s="127"/>
      <c r="H19" s="127"/>
      <c r="I19" s="127"/>
    </row>
    <row r="20" spans="2:9" s="74" customFormat="1" ht="11.25">
      <c r="B20" s="127"/>
      <c r="C20" s="127"/>
      <c r="D20" s="127"/>
      <c r="E20" s="127"/>
      <c r="F20" s="127"/>
      <c r="G20" s="127"/>
      <c r="H20" s="127"/>
      <c r="I20" s="127"/>
    </row>
    <row r="21" spans="2:9" s="74" customFormat="1" ht="11.25">
      <c r="B21" s="127"/>
      <c r="C21" s="127"/>
      <c r="D21" s="127"/>
      <c r="E21" s="127"/>
      <c r="F21" s="127"/>
      <c r="G21" s="127"/>
      <c r="H21" s="127"/>
      <c r="I21" s="127"/>
    </row>
    <row r="22" ht="11.25">
      <c r="B22" s="501"/>
    </row>
  </sheetData>
  <sheetProtection selectLockedCells="1" selectUnlockedCells="1"/>
  <mergeCells count="10">
    <mergeCell ref="C1:H1"/>
    <mergeCell ref="B17:I17"/>
    <mergeCell ref="B16:I16"/>
    <mergeCell ref="B8:I8"/>
    <mergeCell ref="B2:I2"/>
    <mergeCell ref="B3:I3"/>
    <mergeCell ref="B6:C6"/>
    <mergeCell ref="B4:I4"/>
    <mergeCell ref="B5:I5"/>
    <mergeCell ref="B7:C7"/>
  </mergeCells>
  <printOptions/>
  <pageMargins left="0.787401575" right="0.787401575" top="0.984251969" bottom="0.984251969" header="0.492125985" footer="0.49212598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 Garson Braule Pinto</dc:creator>
  <cp:keywords/>
  <dc:description/>
  <cp:lastModifiedBy>Usuario</cp:lastModifiedBy>
  <cp:lastPrinted>2015-08-28T14:16:20Z</cp:lastPrinted>
  <dcterms:created xsi:type="dcterms:W3CDTF">2001-06-21T00:51:05Z</dcterms:created>
  <dcterms:modified xsi:type="dcterms:W3CDTF">2015-12-16T15:52:59Z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